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REG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>#REF!</definedName>
    <definedName name="\M">#REF!</definedName>
    <definedName name="angie">#REF!</definedName>
    <definedName name="date">#REF!</definedName>
    <definedName name="netmargin1">'[12]Debt Service Ratio revised'!$B$9:$D$143</definedName>
    <definedName name="PAGE1">#REF!</definedName>
    <definedName name="PAGE2">#REF!</definedName>
    <definedName name="PAGE3">#REF!</definedName>
    <definedName name="_xlnm.Print_Area" localSheetId="0">'REG12'!$V:$AD</definedName>
    <definedName name="_xlnm.Print_Titles" localSheetId="0">'REG12'!$A:$A,'REG12'!$1:$4</definedName>
    <definedName name="Print_Titles_MI">#REF!</definedName>
    <definedName name="sched">'[13]Acid Test'!$A$104:$G$142</definedName>
    <definedName name="sl">[12]main!$A$2:$L$165</definedName>
    <definedName name="systemlossmar14">[14]main!$A$2:$K$165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6" i="1" l="1"/>
  <c r="Q86" i="1"/>
  <c r="L86" i="1"/>
  <c r="G86" i="1"/>
  <c r="B86" i="1"/>
  <c r="B83" i="1"/>
  <c r="C83" i="1" s="1"/>
  <c r="V67" i="1" s="1"/>
  <c r="Y67" i="1" s="1"/>
  <c r="A83" i="1"/>
  <c r="C82" i="1"/>
  <c r="B82" i="1"/>
  <c r="A82" i="1"/>
  <c r="B81" i="1"/>
  <c r="C81" i="1" s="1"/>
  <c r="L67" i="1" s="1"/>
  <c r="O67" i="1" s="1"/>
  <c r="A81" i="1"/>
  <c r="B80" i="1"/>
  <c r="C80" i="1" s="1"/>
  <c r="G67" i="1" s="1"/>
  <c r="J67" i="1" s="1"/>
  <c r="A80" i="1"/>
  <c r="B79" i="1"/>
  <c r="C79" i="1" s="1"/>
  <c r="B67" i="1" s="1"/>
  <c r="A79" i="1"/>
  <c r="V75" i="1"/>
  <c r="Q75" i="1"/>
  <c r="L75" i="1"/>
  <c r="G75" i="1"/>
  <c r="B75" i="1"/>
  <c r="AB72" i="1"/>
  <c r="AC72" i="1" s="1"/>
  <c r="AD72" i="1" s="1"/>
  <c r="AA72" i="1"/>
  <c r="X72" i="1"/>
  <c r="Y72" i="1" s="1"/>
  <c r="T72" i="1"/>
  <c r="S72" i="1"/>
  <c r="N72" i="1"/>
  <c r="O72" i="1" s="1"/>
  <c r="J72" i="1"/>
  <c r="I72" i="1"/>
  <c r="D72" i="1"/>
  <c r="E72" i="1" s="1"/>
  <c r="W70" i="1"/>
  <c r="V70" i="1"/>
  <c r="X70" i="1" s="1"/>
  <c r="Y70" i="1" s="1"/>
  <c r="R70" i="1"/>
  <c r="Q70" i="1"/>
  <c r="S70" i="1" s="1"/>
  <c r="T70" i="1" s="1"/>
  <c r="M70" i="1"/>
  <c r="L70" i="1"/>
  <c r="N70" i="1" s="1"/>
  <c r="O70" i="1" s="1"/>
  <c r="H70" i="1"/>
  <c r="G70" i="1"/>
  <c r="I70" i="1" s="1"/>
  <c r="J70" i="1" s="1"/>
  <c r="C70" i="1"/>
  <c r="B70" i="1"/>
  <c r="D70" i="1" s="1"/>
  <c r="E70" i="1" s="1"/>
  <c r="AB69" i="1"/>
  <c r="AA69" i="1"/>
  <c r="AA70" i="1" s="1"/>
  <c r="Y69" i="1"/>
  <c r="X69" i="1"/>
  <c r="S69" i="1"/>
  <c r="T69" i="1" s="1"/>
  <c r="O69" i="1"/>
  <c r="N69" i="1"/>
  <c r="I69" i="1"/>
  <c r="J69" i="1" s="1"/>
  <c r="E69" i="1"/>
  <c r="D69" i="1"/>
  <c r="AB68" i="1"/>
  <c r="AC68" i="1" s="1"/>
  <c r="AD68" i="1" s="1"/>
  <c r="AA68" i="1"/>
  <c r="X68" i="1"/>
  <c r="Y68" i="1" s="1"/>
  <c r="T68" i="1"/>
  <c r="S68" i="1"/>
  <c r="N68" i="1"/>
  <c r="O68" i="1" s="1"/>
  <c r="J68" i="1"/>
  <c r="I68" i="1"/>
  <c r="D68" i="1"/>
  <c r="E68" i="1" s="1"/>
  <c r="W67" i="1"/>
  <c r="R67" i="1"/>
  <c r="Q67" i="1"/>
  <c r="T67" i="1" s="1"/>
  <c r="M67" i="1"/>
  <c r="H67" i="1"/>
  <c r="C67" i="1"/>
  <c r="AB67" i="1" s="1"/>
  <c r="AA63" i="1"/>
  <c r="W63" i="1"/>
  <c r="V63" i="1"/>
  <c r="Y63" i="1" s="1"/>
  <c r="T63" i="1"/>
  <c r="R63" i="1"/>
  <c r="Q63" i="1"/>
  <c r="M63" i="1"/>
  <c r="O63" i="1" s="1"/>
  <c r="L63" i="1"/>
  <c r="H63" i="1"/>
  <c r="G63" i="1"/>
  <c r="J63" i="1" s="1"/>
  <c r="C63" i="1"/>
  <c r="B63" i="1"/>
  <c r="E63" i="1" s="1"/>
  <c r="AD62" i="1"/>
  <c r="AB62" i="1"/>
  <c r="AA62" i="1"/>
  <c r="AC62" i="1" s="1"/>
  <c r="Y62" i="1"/>
  <c r="X62" i="1"/>
  <c r="S62" i="1"/>
  <c r="T62" i="1" s="1"/>
  <c r="O62" i="1"/>
  <c r="N62" i="1"/>
  <c r="I62" i="1"/>
  <c r="J62" i="1" s="1"/>
  <c r="E62" i="1"/>
  <c r="D62" i="1"/>
  <c r="AB61" i="1"/>
  <c r="AA61" i="1"/>
  <c r="X61" i="1"/>
  <c r="Y61" i="1" s="1"/>
  <c r="T61" i="1"/>
  <c r="S61" i="1"/>
  <c r="N61" i="1"/>
  <c r="O61" i="1" s="1"/>
  <c r="J61" i="1"/>
  <c r="I61" i="1"/>
  <c r="D61" i="1"/>
  <c r="E61" i="1" s="1"/>
  <c r="AD60" i="1"/>
  <c r="AB60" i="1"/>
  <c r="AA60" i="1"/>
  <c r="AC60" i="1" s="1"/>
  <c r="Y60" i="1"/>
  <c r="X60" i="1"/>
  <c r="S60" i="1"/>
  <c r="T60" i="1" s="1"/>
  <c r="O60" i="1"/>
  <c r="N60" i="1"/>
  <c r="I60" i="1"/>
  <c r="J60" i="1" s="1"/>
  <c r="E60" i="1"/>
  <c r="D60" i="1"/>
  <c r="W56" i="1"/>
  <c r="X56" i="1" s="1"/>
  <c r="Y56" i="1" s="1"/>
  <c r="V56" i="1"/>
  <c r="R56" i="1"/>
  <c r="S56" i="1" s="1"/>
  <c r="T56" i="1" s="1"/>
  <c r="Q56" i="1"/>
  <c r="M56" i="1"/>
  <c r="N56" i="1" s="1"/>
  <c r="O56" i="1" s="1"/>
  <c r="L56" i="1"/>
  <c r="H56" i="1"/>
  <c r="I56" i="1" s="1"/>
  <c r="J56" i="1" s="1"/>
  <c r="G56" i="1"/>
  <c r="C56" i="1"/>
  <c r="D56" i="1" s="1"/>
  <c r="E56" i="1" s="1"/>
  <c r="B56" i="1"/>
  <c r="AA56" i="1" s="1"/>
  <c r="W55" i="1"/>
  <c r="X55" i="1" s="1"/>
  <c r="Y55" i="1" s="1"/>
  <c r="V55" i="1"/>
  <c r="R55" i="1"/>
  <c r="S55" i="1" s="1"/>
  <c r="T55" i="1" s="1"/>
  <c r="Q55" i="1"/>
  <c r="M55" i="1"/>
  <c r="N55" i="1" s="1"/>
  <c r="O55" i="1" s="1"/>
  <c r="L55" i="1"/>
  <c r="H55" i="1"/>
  <c r="I55" i="1" s="1"/>
  <c r="J55" i="1" s="1"/>
  <c r="G55" i="1"/>
  <c r="C55" i="1"/>
  <c r="D55" i="1" s="1"/>
  <c r="E55" i="1" s="1"/>
  <c r="B55" i="1"/>
  <c r="AA55" i="1" s="1"/>
  <c r="AB54" i="1"/>
  <c r="AC54" i="1" s="1"/>
  <c r="AD54" i="1" s="1"/>
  <c r="AA54" i="1"/>
  <c r="W54" i="1"/>
  <c r="X54" i="1" s="1"/>
  <c r="Y54" i="1" s="1"/>
  <c r="V54" i="1"/>
  <c r="R54" i="1"/>
  <c r="S54" i="1" s="1"/>
  <c r="T54" i="1" s="1"/>
  <c r="Q54" i="1"/>
  <c r="M54" i="1"/>
  <c r="N54" i="1" s="1"/>
  <c r="O54" i="1" s="1"/>
  <c r="L54" i="1"/>
  <c r="H54" i="1"/>
  <c r="I54" i="1" s="1"/>
  <c r="J54" i="1" s="1"/>
  <c r="G54" i="1"/>
  <c r="C54" i="1"/>
  <c r="D54" i="1" s="1"/>
  <c r="E54" i="1" s="1"/>
  <c r="B54" i="1"/>
  <c r="X53" i="1"/>
  <c r="Y53" i="1" s="1"/>
  <c r="W53" i="1"/>
  <c r="V53" i="1"/>
  <c r="R53" i="1"/>
  <c r="S53" i="1" s="1"/>
  <c r="T53" i="1" s="1"/>
  <c r="Q53" i="1"/>
  <c r="N53" i="1"/>
  <c r="O53" i="1" s="1"/>
  <c r="M53" i="1"/>
  <c r="L53" i="1"/>
  <c r="H53" i="1"/>
  <c r="I53" i="1" s="1"/>
  <c r="J53" i="1" s="1"/>
  <c r="G53" i="1"/>
  <c r="D53" i="1"/>
  <c r="E53" i="1" s="1"/>
  <c r="C53" i="1"/>
  <c r="AB53" i="1" s="1"/>
  <c r="B53" i="1"/>
  <c r="AA53" i="1" s="1"/>
  <c r="AC53" i="1" s="1"/>
  <c r="AD53" i="1" s="1"/>
  <c r="W52" i="1"/>
  <c r="X52" i="1" s="1"/>
  <c r="Y52" i="1" s="1"/>
  <c r="V52" i="1"/>
  <c r="S52" i="1"/>
  <c r="T52" i="1" s="1"/>
  <c r="R52" i="1"/>
  <c r="Q52" i="1"/>
  <c r="M52" i="1"/>
  <c r="N52" i="1" s="1"/>
  <c r="O52" i="1" s="1"/>
  <c r="L52" i="1"/>
  <c r="I52" i="1"/>
  <c r="J52" i="1" s="1"/>
  <c r="H52" i="1"/>
  <c r="G52" i="1"/>
  <c r="C52" i="1"/>
  <c r="B52" i="1"/>
  <c r="AB49" i="1"/>
  <c r="AA49" i="1"/>
  <c r="AC49" i="1" s="1"/>
  <c r="AD49" i="1" s="1"/>
  <c r="X48" i="1"/>
  <c r="Y48" i="1" s="1"/>
  <c r="W48" i="1"/>
  <c r="V48" i="1"/>
  <c r="R48" i="1"/>
  <c r="Q48" i="1"/>
  <c r="M48" i="1"/>
  <c r="L48" i="1"/>
  <c r="N48" i="1" s="1"/>
  <c r="O48" i="1" s="1"/>
  <c r="H48" i="1"/>
  <c r="G48" i="1"/>
  <c r="I48" i="1" s="1"/>
  <c r="J48" i="1" s="1"/>
  <c r="D48" i="1"/>
  <c r="E48" i="1" s="1"/>
  <c r="C48" i="1"/>
  <c r="B48" i="1"/>
  <c r="AA48" i="1" s="1"/>
  <c r="AB47" i="1"/>
  <c r="W47" i="1"/>
  <c r="V47" i="1"/>
  <c r="X47" i="1" s="1"/>
  <c r="Y47" i="1" s="1"/>
  <c r="R47" i="1"/>
  <c r="Q47" i="1"/>
  <c r="S47" i="1" s="1"/>
  <c r="T47" i="1" s="1"/>
  <c r="M47" i="1"/>
  <c r="L47" i="1"/>
  <c r="N47" i="1" s="1"/>
  <c r="O47" i="1" s="1"/>
  <c r="J47" i="1"/>
  <c r="H47" i="1"/>
  <c r="G47" i="1"/>
  <c r="I47" i="1" s="1"/>
  <c r="C47" i="1"/>
  <c r="B47" i="1"/>
  <c r="AA47" i="1" s="1"/>
  <c r="AC47" i="1" s="1"/>
  <c r="AD47" i="1" s="1"/>
  <c r="Y46" i="1"/>
  <c r="W46" i="1"/>
  <c r="V46" i="1"/>
  <c r="X46" i="1" s="1"/>
  <c r="R46" i="1"/>
  <c r="Q46" i="1"/>
  <c r="S46" i="1" s="1"/>
  <c r="T46" i="1" s="1"/>
  <c r="M46" i="1"/>
  <c r="L46" i="1"/>
  <c r="N46" i="1" s="1"/>
  <c r="O46" i="1" s="1"/>
  <c r="J46" i="1"/>
  <c r="H46" i="1"/>
  <c r="G46" i="1"/>
  <c r="I46" i="1" s="1"/>
  <c r="C46" i="1"/>
  <c r="AB46" i="1" s="1"/>
  <c r="B46" i="1"/>
  <c r="AA46" i="1" s="1"/>
  <c r="AC46" i="1" s="1"/>
  <c r="AD46" i="1" s="1"/>
  <c r="Y45" i="1"/>
  <c r="W45" i="1"/>
  <c r="R45" i="1"/>
  <c r="O45" i="1"/>
  <c r="M45" i="1"/>
  <c r="H45" i="1"/>
  <c r="E45" i="1"/>
  <c r="C45" i="1"/>
  <c r="W44" i="1"/>
  <c r="V44" i="1"/>
  <c r="V45" i="1" s="1"/>
  <c r="X45" i="1" s="1"/>
  <c r="R44" i="1"/>
  <c r="Q44" i="1"/>
  <c r="Q45" i="1" s="1"/>
  <c r="S45" i="1" s="1"/>
  <c r="T45" i="1" s="1"/>
  <c r="M44" i="1"/>
  <c r="L44" i="1"/>
  <c r="L45" i="1" s="1"/>
  <c r="N45" i="1" s="1"/>
  <c r="H44" i="1"/>
  <c r="G44" i="1"/>
  <c r="G45" i="1" s="1"/>
  <c r="I45" i="1" s="1"/>
  <c r="J45" i="1" s="1"/>
  <c r="C44" i="1"/>
  <c r="AB44" i="1" s="1"/>
  <c r="B44" i="1"/>
  <c r="B45" i="1" s="1"/>
  <c r="D45" i="1" s="1"/>
  <c r="W43" i="1"/>
  <c r="R43" i="1"/>
  <c r="M43" i="1"/>
  <c r="H43" i="1"/>
  <c r="C43" i="1"/>
  <c r="W42" i="1"/>
  <c r="R42" i="1"/>
  <c r="M42" i="1"/>
  <c r="H42" i="1"/>
  <c r="C42" i="1"/>
  <c r="W41" i="1"/>
  <c r="V41" i="1"/>
  <c r="X41" i="1" s="1"/>
  <c r="Y41" i="1" s="1"/>
  <c r="R41" i="1"/>
  <c r="Q41" i="1"/>
  <c r="S41" i="1" s="1"/>
  <c r="T41" i="1" s="1"/>
  <c r="M41" i="1"/>
  <c r="L41" i="1"/>
  <c r="N41" i="1" s="1"/>
  <c r="O41" i="1" s="1"/>
  <c r="H41" i="1"/>
  <c r="G41" i="1"/>
  <c r="I41" i="1" s="1"/>
  <c r="J41" i="1" s="1"/>
  <c r="C41" i="1"/>
  <c r="AB41" i="1" s="1"/>
  <c r="B41" i="1"/>
  <c r="D41" i="1" s="1"/>
  <c r="E41" i="1" s="1"/>
  <c r="W40" i="1"/>
  <c r="R40" i="1"/>
  <c r="M40" i="1"/>
  <c r="H40" i="1"/>
  <c r="C40" i="1"/>
  <c r="AB39" i="1"/>
  <c r="W39" i="1"/>
  <c r="X39" i="1" s="1"/>
  <c r="Y39" i="1" s="1"/>
  <c r="V39" i="1"/>
  <c r="R39" i="1"/>
  <c r="S39" i="1" s="1"/>
  <c r="T39" i="1" s="1"/>
  <c r="Q39" i="1"/>
  <c r="M39" i="1"/>
  <c r="N39" i="1" s="1"/>
  <c r="O39" i="1" s="1"/>
  <c r="L39" i="1"/>
  <c r="H39" i="1"/>
  <c r="I39" i="1" s="1"/>
  <c r="J39" i="1" s="1"/>
  <c r="G39" i="1"/>
  <c r="C39" i="1"/>
  <c r="D39" i="1" s="1"/>
  <c r="E39" i="1" s="1"/>
  <c r="B39" i="1"/>
  <c r="AA39" i="1" s="1"/>
  <c r="AC39" i="1" s="1"/>
  <c r="AD39" i="1" s="1"/>
  <c r="W38" i="1"/>
  <c r="V38" i="1"/>
  <c r="X38" i="1" s="1"/>
  <c r="S38" i="1"/>
  <c r="R38" i="1"/>
  <c r="Q38" i="1"/>
  <c r="M38" i="1"/>
  <c r="N38" i="1" s="1"/>
  <c r="L38" i="1"/>
  <c r="H38" i="1"/>
  <c r="G38" i="1"/>
  <c r="I38" i="1" s="1"/>
  <c r="C38" i="1"/>
  <c r="AB38" i="1" s="1"/>
  <c r="B38" i="1"/>
  <c r="D38" i="1" s="1"/>
  <c r="W37" i="1"/>
  <c r="V37" i="1"/>
  <c r="V87" i="1" s="1"/>
  <c r="R37" i="1"/>
  <c r="Q37" i="1"/>
  <c r="Q87" i="1" s="1"/>
  <c r="M37" i="1"/>
  <c r="L37" i="1"/>
  <c r="L87" i="1" s="1"/>
  <c r="H37" i="1"/>
  <c r="G37" i="1"/>
  <c r="G87" i="1" s="1"/>
  <c r="C37" i="1"/>
  <c r="AB37" i="1" s="1"/>
  <c r="B37" i="1"/>
  <c r="B87" i="1" s="1"/>
  <c r="W33" i="1"/>
  <c r="R33" i="1"/>
  <c r="M33" i="1"/>
  <c r="H33" i="1"/>
  <c r="C33" i="1"/>
  <c r="W32" i="1"/>
  <c r="R32" i="1"/>
  <c r="M32" i="1"/>
  <c r="H32" i="1"/>
  <c r="C32" i="1"/>
  <c r="W31" i="1"/>
  <c r="V31" i="1"/>
  <c r="R31" i="1"/>
  <c r="Q31" i="1"/>
  <c r="M31" i="1"/>
  <c r="N31" i="1" s="1"/>
  <c r="O31" i="1" s="1"/>
  <c r="L31" i="1"/>
  <c r="H31" i="1"/>
  <c r="G31" i="1"/>
  <c r="C31" i="1"/>
  <c r="D31" i="1" s="1"/>
  <c r="E31" i="1" s="1"/>
  <c r="B31" i="1"/>
  <c r="AA31" i="1" s="1"/>
  <c r="W30" i="1"/>
  <c r="R30" i="1"/>
  <c r="M30" i="1"/>
  <c r="H30" i="1"/>
  <c r="C30" i="1"/>
  <c r="W29" i="1"/>
  <c r="R29" i="1"/>
  <c r="M29" i="1"/>
  <c r="H29" i="1"/>
  <c r="C29" i="1"/>
  <c r="W28" i="1"/>
  <c r="V28" i="1"/>
  <c r="X28" i="1" s="1"/>
  <c r="Y28" i="1" s="1"/>
  <c r="T28" i="1"/>
  <c r="R28" i="1"/>
  <c r="Q28" i="1"/>
  <c r="S28" i="1" s="1"/>
  <c r="O28" i="1"/>
  <c r="M28" i="1"/>
  <c r="L28" i="1"/>
  <c r="N28" i="1" s="1"/>
  <c r="H28" i="1"/>
  <c r="G28" i="1"/>
  <c r="I28" i="1" s="1"/>
  <c r="J28" i="1" s="1"/>
  <c r="C28" i="1"/>
  <c r="AB28" i="1" s="1"/>
  <c r="B28" i="1"/>
  <c r="AA28" i="1" s="1"/>
  <c r="AC28" i="1" s="1"/>
  <c r="AD28" i="1" s="1"/>
  <c r="W27" i="1"/>
  <c r="V27" i="1"/>
  <c r="X27" i="1" s="1"/>
  <c r="Y27" i="1" s="1"/>
  <c r="T27" i="1"/>
  <c r="R27" i="1"/>
  <c r="Q27" i="1"/>
  <c r="S27" i="1" s="1"/>
  <c r="O27" i="1"/>
  <c r="M27" i="1"/>
  <c r="L27" i="1"/>
  <c r="N27" i="1" s="1"/>
  <c r="H27" i="1"/>
  <c r="G27" i="1"/>
  <c r="I27" i="1" s="1"/>
  <c r="J27" i="1" s="1"/>
  <c r="C27" i="1"/>
  <c r="AB27" i="1" s="1"/>
  <c r="B27" i="1"/>
  <c r="AA27" i="1" s="1"/>
  <c r="AC27" i="1" s="1"/>
  <c r="AD27" i="1" s="1"/>
  <c r="W26" i="1"/>
  <c r="R26" i="1"/>
  <c r="M26" i="1"/>
  <c r="H26" i="1"/>
  <c r="C26" i="1"/>
  <c r="W25" i="1"/>
  <c r="R25" i="1"/>
  <c r="M25" i="1"/>
  <c r="H25" i="1"/>
  <c r="C25" i="1"/>
  <c r="AB24" i="1"/>
  <c r="W24" i="1"/>
  <c r="V24" i="1"/>
  <c r="V71" i="1" s="1"/>
  <c r="R24" i="1"/>
  <c r="Q24" i="1"/>
  <c r="Q71" i="1" s="1"/>
  <c r="M24" i="1"/>
  <c r="L24" i="1"/>
  <c r="L71" i="1" s="1"/>
  <c r="H24" i="1"/>
  <c r="G24" i="1"/>
  <c r="G71" i="1" s="1"/>
  <c r="C24" i="1"/>
  <c r="B24" i="1"/>
  <c r="B71" i="1" s="1"/>
  <c r="W23" i="1"/>
  <c r="R23" i="1"/>
  <c r="M23" i="1"/>
  <c r="H23" i="1"/>
  <c r="C23" i="1"/>
  <c r="W22" i="1"/>
  <c r="W65" i="1" s="1"/>
  <c r="V22" i="1"/>
  <c r="V65" i="1" s="1"/>
  <c r="X65" i="1" s="1"/>
  <c r="Y65" i="1" s="1"/>
  <c r="R22" i="1"/>
  <c r="R65" i="1" s="1"/>
  <c r="Q22" i="1"/>
  <c r="Q65" i="1" s="1"/>
  <c r="S65" i="1" s="1"/>
  <c r="T65" i="1" s="1"/>
  <c r="M22" i="1"/>
  <c r="M65" i="1" s="1"/>
  <c r="L22" i="1"/>
  <c r="L65" i="1" s="1"/>
  <c r="N65" i="1" s="1"/>
  <c r="O65" i="1" s="1"/>
  <c r="H22" i="1"/>
  <c r="H65" i="1" s="1"/>
  <c r="G22" i="1"/>
  <c r="G65" i="1" s="1"/>
  <c r="I65" i="1" s="1"/>
  <c r="J65" i="1" s="1"/>
  <c r="C22" i="1"/>
  <c r="C65" i="1" s="1"/>
  <c r="B22" i="1"/>
  <c r="B65" i="1" s="1"/>
  <c r="D65" i="1" s="1"/>
  <c r="E65" i="1" s="1"/>
  <c r="W21" i="1"/>
  <c r="R21" i="1"/>
  <c r="M21" i="1"/>
  <c r="H21" i="1"/>
  <c r="C21" i="1"/>
  <c r="W20" i="1"/>
  <c r="V20" i="1"/>
  <c r="X20" i="1" s="1"/>
  <c r="Y20" i="1" s="1"/>
  <c r="R20" i="1"/>
  <c r="Q20" i="1"/>
  <c r="S20" i="1" s="1"/>
  <c r="T20" i="1" s="1"/>
  <c r="O20" i="1"/>
  <c r="M20" i="1"/>
  <c r="L20" i="1"/>
  <c r="N20" i="1" s="1"/>
  <c r="J20" i="1"/>
  <c r="H20" i="1"/>
  <c r="G20" i="1"/>
  <c r="I20" i="1" s="1"/>
  <c r="C20" i="1"/>
  <c r="AB20" i="1" s="1"/>
  <c r="B20" i="1"/>
  <c r="AA20" i="1" s="1"/>
  <c r="W19" i="1"/>
  <c r="V19" i="1"/>
  <c r="V21" i="1" s="1"/>
  <c r="R19" i="1"/>
  <c r="M19" i="1"/>
  <c r="H19" i="1"/>
  <c r="G19" i="1"/>
  <c r="C19" i="1"/>
  <c r="B19" i="1"/>
  <c r="W18" i="1"/>
  <c r="X18" i="1" s="1"/>
  <c r="V18" i="1"/>
  <c r="R18" i="1"/>
  <c r="Q18" i="1"/>
  <c r="M18" i="1"/>
  <c r="L18" i="1"/>
  <c r="I18" i="1"/>
  <c r="H18" i="1"/>
  <c r="G18" i="1"/>
  <c r="C18" i="1"/>
  <c r="AB18" i="1" s="1"/>
  <c r="B18" i="1"/>
  <c r="X17" i="1"/>
  <c r="Y17" i="1" s="1"/>
  <c r="W17" i="1"/>
  <c r="V17" i="1"/>
  <c r="R17" i="1"/>
  <c r="S17" i="1" s="1"/>
  <c r="T17" i="1" s="1"/>
  <c r="Q17" i="1"/>
  <c r="N17" i="1"/>
  <c r="O17" i="1" s="1"/>
  <c r="M17" i="1"/>
  <c r="L17" i="1"/>
  <c r="H17" i="1"/>
  <c r="I17" i="1" s="1"/>
  <c r="J17" i="1" s="1"/>
  <c r="G17" i="1"/>
  <c r="D17" i="1"/>
  <c r="E17" i="1" s="1"/>
  <c r="C17" i="1"/>
  <c r="AB17" i="1" s="1"/>
  <c r="B17" i="1"/>
  <c r="AA17" i="1" s="1"/>
  <c r="AC17" i="1" s="1"/>
  <c r="AD17" i="1" s="1"/>
  <c r="W16" i="1"/>
  <c r="X16" i="1" s="1"/>
  <c r="Y16" i="1" s="1"/>
  <c r="V16" i="1"/>
  <c r="S16" i="1"/>
  <c r="T16" i="1" s="1"/>
  <c r="R16" i="1"/>
  <c r="Q16" i="1"/>
  <c r="M16" i="1"/>
  <c r="AB16" i="1" s="1"/>
  <c r="L16" i="1"/>
  <c r="I16" i="1"/>
  <c r="J16" i="1" s="1"/>
  <c r="H16" i="1"/>
  <c r="G16" i="1"/>
  <c r="C16" i="1"/>
  <c r="D16" i="1" s="1"/>
  <c r="E16" i="1" s="1"/>
  <c r="B16" i="1"/>
  <c r="AA16" i="1" s="1"/>
  <c r="X15" i="1"/>
  <c r="Y15" i="1" s="1"/>
  <c r="W15" i="1"/>
  <c r="V15" i="1"/>
  <c r="R15" i="1"/>
  <c r="S15" i="1" s="1"/>
  <c r="T15" i="1" s="1"/>
  <c r="Q15" i="1"/>
  <c r="N15" i="1"/>
  <c r="O15" i="1" s="1"/>
  <c r="M15" i="1"/>
  <c r="AB15" i="1" s="1"/>
  <c r="L15" i="1"/>
  <c r="H15" i="1"/>
  <c r="I15" i="1" s="1"/>
  <c r="J15" i="1" s="1"/>
  <c r="G15" i="1"/>
  <c r="D15" i="1"/>
  <c r="E15" i="1" s="1"/>
  <c r="C15" i="1"/>
  <c r="B15" i="1"/>
  <c r="AA15" i="1" s="1"/>
  <c r="AC15" i="1" s="1"/>
  <c r="AD15" i="1" s="1"/>
  <c r="W14" i="1"/>
  <c r="X14" i="1" s="1"/>
  <c r="Y14" i="1" s="1"/>
  <c r="V14" i="1"/>
  <c r="S14" i="1"/>
  <c r="T14" i="1" s="1"/>
  <c r="R14" i="1"/>
  <c r="Q14" i="1"/>
  <c r="M14" i="1"/>
  <c r="N14" i="1" s="1"/>
  <c r="O14" i="1" s="1"/>
  <c r="L14" i="1"/>
  <c r="I14" i="1"/>
  <c r="J14" i="1" s="1"/>
  <c r="H14" i="1"/>
  <c r="G14" i="1"/>
  <c r="C14" i="1"/>
  <c r="AB14" i="1" s="1"/>
  <c r="B14" i="1"/>
  <c r="AA14" i="1" s="1"/>
  <c r="AC14" i="1" s="1"/>
  <c r="AD14" i="1" s="1"/>
  <c r="X13" i="1"/>
  <c r="Y13" i="1" s="1"/>
  <c r="W13" i="1"/>
  <c r="W64" i="1" s="1"/>
  <c r="V13" i="1"/>
  <c r="V64" i="1" s="1"/>
  <c r="R13" i="1"/>
  <c r="R64" i="1" s="1"/>
  <c r="Q13" i="1"/>
  <c r="Q64" i="1" s="1"/>
  <c r="N13" i="1"/>
  <c r="O13" i="1" s="1"/>
  <c r="M13" i="1"/>
  <c r="M64" i="1" s="1"/>
  <c r="L13" i="1"/>
  <c r="L64" i="1" s="1"/>
  <c r="H13" i="1"/>
  <c r="H64" i="1" s="1"/>
  <c r="G13" i="1"/>
  <c r="G64" i="1" s="1"/>
  <c r="D13" i="1"/>
  <c r="E13" i="1" s="1"/>
  <c r="C13" i="1"/>
  <c r="C64" i="1" s="1"/>
  <c r="B13" i="1"/>
  <c r="B64" i="1" s="1"/>
  <c r="AB9" i="1"/>
  <c r="AA9" i="1"/>
  <c r="W9" i="1"/>
  <c r="V9" i="1"/>
  <c r="R9" i="1"/>
  <c r="Q9" i="1"/>
  <c r="M9" i="1"/>
  <c r="L9" i="1"/>
  <c r="H9" i="1"/>
  <c r="G9" i="1"/>
  <c r="C9" i="1"/>
  <c r="B9" i="1"/>
  <c r="A3" i="1"/>
  <c r="A2" i="1"/>
  <c r="AC16" i="1" l="1"/>
  <c r="AD16" i="1" s="1"/>
  <c r="Y31" i="1"/>
  <c r="X31" i="1"/>
  <c r="AB48" i="1"/>
  <c r="AC48" i="1" s="1"/>
  <c r="AD48" i="1" s="1"/>
  <c r="S48" i="1"/>
  <c r="T48" i="1" s="1"/>
  <c r="S13" i="1"/>
  <c r="T13" i="1" s="1"/>
  <c r="AB13" i="1"/>
  <c r="D14" i="1"/>
  <c r="E14" i="1" s="1"/>
  <c r="N16" i="1"/>
  <c r="O16" i="1" s="1"/>
  <c r="D18" i="1"/>
  <c r="L19" i="1"/>
  <c r="N18" i="1"/>
  <c r="AA18" i="1"/>
  <c r="AC18" i="1" s="1"/>
  <c r="B21" i="1"/>
  <c r="D19" i="1"/>
  <c r="E19" i="1" s="1"/>
  <c r="H71" i="1"/>
  <c r="I71" i="1" s="1"/>
  <c r="J71" i="1" s="1"/>
  <c r="I24" i="1"/>
  <c r="J24" i="1" s="1"/>
  <c r="R71" i="1"/>
  <c r="S24" i="1"/>
  <c r="T24" i="1" s="1"/>
  <c r="AB31" i="1"/>
  <c r="AB42" i="1"/>
  <c r="G42" i="1"/>
  <c r="I42" i="1" s="1"/>
  <c r="J42" i="1" s="1"/>
  <c r="Q42" i="1"/>
  <c r="S42" i="1" s="1"/>
  <c r="T42" i="1" s="1"/>
  <c r="E67" i="1"/>
  <c r="AA67" i="1"/>
  <c r="AD67" i="1" s="1"/>
  <c r="J31" i="1"/>
  <c r="I31" i="1"/>
  <c r="T31" i="1"/>
  <c r="S31" i="1"/>
  <c r="AA41" i="1"/>
  <c r="G21" i="1"/>
  <c r="I19" i="1"/>
  <c r="J19" i="1" s="1"/>
  <c r="AB71" i="1"/>
  <c r="I13" i="1"/>
  <c r="J13" i="1" s="1"/>
  <c r="S18" i="1"/>
  <c r="Q19" i="1"/>
  <c r="V26" i="1"/>
  <c r="X21" i="1"/>
  <c r="Y21" i="1" s="1"/>
  <c r="AC20" i="1"/>
  <c r="AD20" i="1" s="1"/>
  <c r="C71" i="1"/>
  <c r="D24" i="1"/>
  <c r="E24" i="1" s="1"/>
  <c r="M71" i="1"/>
  <c r="N71" i="1" s="1"/>
  <c r="O71" i="1" s="1"/>
  <c r="N24" i="1"/>
  <c r="O24" i="1" s="1"/>
  <c r="W71" i="1"/>
  <c r="X24" i="1"/>
  <c r="Y24" i="1" s="1"/>
  <c r="AC31" i="1"/>
  <c r="AD31" i="1" s="1"/>
  <c r="AA38" i="1"/>
  <c r="AC38" i="1" s="1"/>
  <c r="B42" i="1"/>
  <c r="D42" i="1" s="1"/>
  <c r="E42" i="1" s="1"/>
  <c r="L42" i="1"/>
  <c r="N42" i="1" s="1"/>
  <c r="O42" i="1" s="1"/>
  <c r="V42" i="1"/>
  <c r="X42" i="1" s="1"/>
  <c r="Y42" i="1" s="1"/>
  <c r="AB52" i="1"/>
  <c r="D52" i="1"/>
  <c r="E52" i="1" s="1"/>
  <c r="D64" i="1"/>
  <c r="E64" i="1" s="1"/>
  <c r="I64" i="1"/>
  <c r="J64" i="1" s="1"/>
  <c r="N64" i="1"/>
  <c r="O64" i="1" s="1"/>
  <c r="S64" i="1"/>
  <c r="T64" i="1" s="1"/>
  <c r="X64" i="1"/>
  <c r="Y64" i="1" s="1"/>
  <c r="AA13" i="1"/>
  <c r="X19" i="1"/>
  <c r="Y19" i="1" s="1"/>
  <c r="D20" i="1"/>
  <c r="E20" i="1" s="1"/>
  <c r="D22" i="1"/>
  <c r="E22" i="1" s="1"/>
  <c r="I22" i="1"/>
  <c r="J22" i="1" s="1"/>
  <c r="N22" i="1"/>
  <c r="O22" i="1" s="1"/>
  <c r="S22" i="1"/>
  <c r="T22" i="1" s="1"/>
  <c r="X22" i="1"/>
  <c r="Y22" i="1" s="1"/>
  <c r="D71" i="1"/>
  <c r="E71" i="1" s="1"/>
  <c r="S71" i="1"/>
  <c r="T71" i="1" s="1"/>
  <c r="X71" i="1"/>
  <c r="Y71" i="1" s="1"/>
  <c r="AA24" i="1"/>
  <c r="B25" i="1"/>
  <c r="E25" i="1" s="1"/>
  <c r="V25" i="1"/>
  <c r="Y25" i="1" s="1"/>
  <c r="D27" i="1"/>
  <c r="E27" i="1" s="1"/>
  <c r="D28" i="1"/>
  <c r="E28" i="1" s="1"/>
  <c r="D37" i="1"/>
  <c r="E37" i="1" s="1"/>
  <c r="I37" i="1"/>
  <c r="J37" i="1" s="1"/>
  <c r="N37" i="1"/>
  <c r="O37" i="1" s="1"/>
  <c r="S37" i="1"/>
  <c r="T37" i="1" s="1"/>
  <c r="X37" i="1"/>
  <c r="Y37" i="1" s="1"/>
  <c r="D44" i="1"/>
  <c r="E44" i="1" s="1"/>
  <c r="I44" i="1"/>
  <c r="J44" i="1" s="1"/>
  <c r="N44" i="1"/>
  <c r="O44" i="1" s="1"/>
  <c r="S44" i="1"/>
  <c r="T44" i="1" s="1"/>
  <c r="X44" i="1"/>
  <c r="Y44" i="1" s="1"/>
  <c r="D46" i="1"/>
  <c r="E46" i="1" s="1"/>
  <c r="D47" i="1"/>
  <c r="E47" i="1" s="1"/>
  <c r="AA52" i="1"/>
  <c r="AB55" i="1"/>
  <c r="AA22" i="1"/>
  <c r="B23" i="1"/>
  <c r="E23" i="1" s="1"/>
  <c r="V23" i="1"/>
  <c r="Y23" i="1" s="1"/>
  <c r="AA37" i="1"/>
  <c r="AC37" i="1" s="1"/>
  <c r="AD37" i="1" s="1"/>
  <c r="AA44" i="1"/>
  <c r="AC55" i="1"/>
  <c r="AD55" i="1" s="1"/>
  <c r="AB22" i="1"/>
  <c r="AB45" i="1" s="1"/>
  <c r="AB56" i="1"/>
  <c r="AC56" i="1" s="1"/>
  <c r="AD56" i="1" s="1"/>
  <c r="AB63" i="1"/>
  <c r="AD63" i="1" s="1"/>
  <c r="AC61" i="1"/>
  <c r="AD61" i="1" s="1"/>
  <c r="AB70" i="1"/>
  <c r="AC70" i="1" s="1"/>
  <c r="AD70" i="1" s="1"/>
  <c r="AC69" i="1"/>
  <c r="AD69" i="1" s="1"/>
  <c r="AA71" i="1" l="1"/>
  <c r="AC71" i="1" s="1"/>
  <c r="AD71" i="1" s="1"/>
  <c r="AC24" i="1"/>
  <c r="AD24" i="1" s="1"/>
  <c r="Q21" i="1"/>
  <c r="S19" i="1"/>
  <c r="T19" i="1" s="1"/>
  <c r="AC41" i="1"/>
  <c r="AD41" i="1" s="1"/>
  <c r="AA42" i="1"/>
  <c r="AC42" i="1" s="1"/>
  <c r="AD42" i="1" s="1"/>
  <c r="B26" i="1"/>
  <c r="D21" i="1"/>
  <c r="E21" i="1" s="1"/>
  <c r="AB65" i="1"/>
  <c r="AA45" i="1"/>
  <c r="AC45" i="1" s="1"/>
  <c r="AD45" i="1" s="1"/>
  <c r="AC44" i="1"/>
  <c r="AD44" i="1" s="1"/>
  <c r="AA65" i="1"/>
  <c r="AC65" i="1" s="1"/>
  <c r="AD65" i="1" s="1"/>
  <c r="AC22" i="1"/>
  <c r="AD22" i="1" s="1"/>
  <c r="AA64" i="1"/>
  <c r="AA19" i="1"/>
  <c r="AC13" i="1"/>
  <c r="AD13" i="1" s="1"/>
  <c r="G25" i="1"/>
  <c r="J25" i="1" s="1"/>
  <c r="G26" i="1"/>
  <c r="I21" i="1"/>
  <c r="J21" i="1" s="1"/>
  <c r="G23" i="1"/>
  <c r="J23" i="1" s="1"/>
  <c r="AC52" i="1"/>
  <c r="AD52" i="1" s="1"/>
  <c r="V29" i="1"/>
  <c r="X26" i="1"/>
  <c r="Y26" i="1" s="1"/>
  <c r="L21" i="1"/>
  <c r="N19" i="1"/>
  <c r="O19" i="1" s="1"/>
  <c r="AB64" i="1"/>
  <c r="AB19" i="1"/>
  <c r="AB21" i="1" s="1"/>
  <c r="AB23" i="1" s="1"/>
  <c r="AA21" i="1" l="1"/>
  <c r="AC19" i="1"/>
  <c r="AD19" i="1" s="1"/>
  <c r="B29" i="1"/>
  <c r="D26" i="1"/>
  <c r="E26" i="1" s="1"/>
  <c r="Q26" i="1"/>
  <c r="S21" i="1"/>
  <c r="T21" i="1" s="1"/>
  <c r="Q25" i="1"/>
  <c r="T25" i="1" s="1"/>
  <c r="Q23" i="1"/>
  <c r="T23" i="1" s="1"/>
  <c r="L26" i="1"/>
  <c r="L25" i="1"/>
  <c r="O25" i="1" s="1"/>
  <c r="N21" i="1"/>
  <c r="O21" i="1" s="1"/>
  <c r="L23" i="1"/>
  <c r="O23" i="1" s="1"/>
  <c r="AB26" i="1"/>
  <c r="AB29" i="1" s="1"/>
  <c r="AB25" i="1"/>
  <c r="V30" i="1"/>
  <c r="Y30" i="1" s="1"/>
  <c r="V32" i="1"/>
  <c r="X29" i="1"/>
  <c r="Y29" i="1" s="1"/>
  <c r="G29" i="1"/>
  <c r="I26" i="1"/>
  <c r="J26" i="1" s="1"/>
  <c r="AC64" i="1"/>
  <c r="AD64" i="1" s="1"/>
  <c r="V76" i="1" l="1"/>
  <c r="X32" i="1"/>
  <c r="Y32" i="1" s="1"/>
  <c r="V33" i="1"/>
  <c r="Y33" i="1" s="1"/>
  <c r="B30" i="1"/>
  <c r="E30" i="1" s="1"/>
  <c r="B32" i="1"/>
  <c r="D29" i="1"/>
  <c r="E29" i="1" s="1"/>
  <c r="G32" i="1"/>
  <c r="I29" i="1"/>
  <c r="J29" i="1" s="1"/>
  <c r="G30" i="1"/>
  <c r="J30" i="1" s="1"/>
  <c r="AB30" i="1"/>
  <c r="AB32" i="1"/>
  <c r="AB33" i="1" s="1"/>
  <c r="L29" i="1"/>
  <c r="N26" i="1"/>
  <c r="O26" i="1" s="1"/>
  <c r="Q29" i="1"/>
  <c r="S26" i="1"/>
  <c r="T26" i="1" s="1"/>
  <c r="AA26" i="1"/>
  <c r="AC21" i="1"/>
  <c r="AD21" i="1" s="1"/>
  <c r="AA25" i="1"/>
  <c r="AD25" i="1" s="1"/>
  <c r="AA23" i="1"/>
  <c r="AD23" i="1" s="1"/>
  <c r="Q30" i="1" l="1"/>
  <c r="T30" i="1" s="1"/>
  <c r="Q32" i="1"/>
  <c r="S29" i="1"/>
  <c r="T29" i="1" s="1"/>
  <c r="AA29" i="1"/>
  <c r="AC26" i="1"/>
  <c r="AD26" i="1" s="1"/>
  <c r="L32" i="1"/>
  <c r="L30" i="1"/>
  <c r="O30" i="1" s="1"/>
  <c r="N29" i="1"/>
  <c r="O29" i="1" s="1"/>
  <c r="G76" i="1"/>
  <c r="G33" i="1"/>
  <c r="J33" i="1" s="1"/>
  <c r="I32" i="1"/>
  <c r="J32" i="1" s="1"/>
  <c r="B76" i="1"/>
  <c r="D32" i="1"/>
  <c r="E32" i="1" s="1"/>
  <c r="B33" i="1"/>
  <c r="E33" i="1" s="1"/>
  <c r="AA32" i="1" l="1"/>
  <c r="AC29" i="1"/>
  <c r="AD29" i="1" s="1"/>
  <c r="AA30" i="1"/>
  <c r="AD30" i="1" s="1"/>
  <c r="L76" i="1"/>
  <c r="L33" i="1"/>
  <c r="O33" i="1" s="1"/>
  <c r="N32" i="1"/>
  <c r="O32" i="1" s="1"/>
  <c r="Q76" i="1"/>
  <c r="S32" i="1"/>
  <c r="T32" i="1" s="1"/>
  <c r="Q33" i="1"/>
  <c r="T33" i="1" s="1"/>
  <c r="AA33" i="1" l="1"/>
  <c r="AD33" i="1" s="1"/>
  <c r="AC32" i="1"/>
  <c r="AD32" i="1" s="1"/>
</calcChain>
</file>

<file path=xl/sharedStrings.xml><?xml version="1.0" encoding="utf-8"?>
<sst xmlns="http://schemas.openxmlformats.org/spreadsheetml/2006/main" count="106" uniqueCount="71">
  <si>
    <t>REGION XII</t>
  </si>
  <si>
    <t>(In Thousand)</t>
  </si>
  <si>
    <t>COTELCO</t>
  </si>
  <si>
    <t>COTELCO - PPALMA</t>
  </si>
  <si>
    <t>SOCOTECO I</t>
  </si>
  <si>
    <t>SOCOTECO II</t>
  </si>
  <si>
    <t>SUKELCO</t>
  </si>
  <si>
    <t xml:space="preserve">       T O T A L</t>
  </si>
  <si>
    <t>Inc. / (Dec)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</si>
  <si>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</si>
  <si>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</si>
  <si>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</si>
  <si>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</si>
  <si>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</si>
  <si>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</si>
  <si>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</si>
  <si>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</si>
  <si>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</si>
  <si>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</si>
  <si>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</si>
  <si>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</si>
  <si>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</si>
  <si>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</si>
  <si>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</si>
  <si>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</si>
  <si>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</si>
  <si>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</si>
  <si>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</si>
  <si>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</si>
  <si>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</si>
  <si>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</si>
  <si>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</si>
  <si>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</si>
  <si>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</si>
  <si>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</si>
  <si>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</si>
  <si>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</si>
  <si>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</si>
  <si>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</si>
  <si>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</si>
  <si>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</si>
  <si>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</si>
  <si>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</si>
  <si>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</si>
  <si>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</si>
  <si>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</si>
  <si>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</si>
  <si>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</si>
  <si>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</si>
  <si>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</si>
  <si>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</si>
  <si>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</si>
  <si>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</si>
  <si>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</si>
  <si>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</si>
  <si>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</si>
  <si>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</si>
  <si>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</si>
  <si>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>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</si>
  <si>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</si>
  <si>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</si>
  <si>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</si>
  <si>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</si>
  <si>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</si>
  <si>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</si>
  <si>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AAA - Mega Large</t>
  </si>
  <si>
    <t>A - Mega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</si>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</sst>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4" fillId="0" borderId="0" xfId="0" applyFont="1"/>
    <xf numFmtId="164" fontId="2" fillId="0" borderId="0" xfId="1" applyNumberFormat="1" applyFont="1" applyAlignment="1">
      <alignment horizontal="left"/>
    </xf>
    <xf numFmtId="165" fontId="2" fillId="0" borderId="0" xfId="0" applyNumberFormat="1" applyFont="1"/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Fill="1"/>
    <xf numFmtId="43" fontId="2" fillId="0" borderId="0" xfId="1" applyNumberFormat="1" applyFont="1"/>
    <xf numFmtId="43" fontId="2" fillId="0" borderId="0" xfId="1" applyNumberFormat="1" applyFont="1" applyAlignment="1">
      <alignment horizontal="left"/>
    </xf>
    <xf numFmtId="43" fontId="2" fillId="0" borderId="0" xfId="1" applyNumberFormat="1" applyFont="1" applyFill="1"/>
    <xf numFmtId="0" fontId="0" fillId="0" borderId="0" xfId="0" applyFont="1"/>
    <xf numFmtId="43" fontId="2" fillId="0" borderId="0" xfId="0" applyNumberFormat="1" applyFont="1" applyAlignment="1">
      <alignment horizontal="left"/>
    </xf>
    <xf numFmtId="43" fontId="0" fillId="0" borderId="0" xfId="0" applyNumberFormat="1" applyFont="1"/>
    <xf numFmtId="43" fontId="2" fillId="0" borderId="0" xfId="0" applyNumberFormat="1" applyFont="1"/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39" fontId="2" fillId="0" borderId="0" xfId="0" applyNumberFormat="1" applyFont="1"/>
    <xf numFmtId="0" fontId="5" fillId="0" borderId="0" xfId="0" applyFont="1"/>
    <xf numFmtId="43" fontId="5" fillId="0" borderId="0" xfId="0" applyNumberFormat="1" applyFont="1"/>
    <xf numFmtId="0" fontId="6" fillId="0" borderId="0" xfId="0" applyFont="1"/>
    <xf numFmtId="2" fontId="2" fillId="0" borderId="0" xfId="0" applyNumberFormat="1" applyFont="1"/>
    <xf numFmtId="43" fontId="5" fillId="0" borderId="0" xfId="1" applyFont="1"/>
    <xf numFmtId="43" fontId="7" fillId="0" borderId="0" xfId="0" applyNumberFormat="1" applyFont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2\COTELCO_SE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2\COTELCO-PPALMA_SEP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2\SOCOTECO%20I_SEP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2\SOCOTECO%20II_SEP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REG%2012\SUKELCO_SEP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3\3rd%20Qtr_EC%20Loans%20to%20NEA%20092023_from%20Treasur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5">
          <cell r="B5" t="str">
            <v>September</v>
          </cell>
        </row>
      </sheetData>
      <sheetData sheetId="6">
        <row r="2">
          <cell r="A2" t="str">
            <v>Financial Profile as of September 30, 2024</v>
          </cell>
        </row>
        <row r="3">
          <cell r="A3" t="str">
            <v>With Comparative Figures as of September 30, 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2438034.1108900001</v>
          </cell>
        </row>
        <row r="6">
          <cell r="U6">
            <v>107688.76316</v>
          </cell>
        </row>
        <row r="7">
          <cell r="U7">
            <v>70930.166710000005</v>
          </cell>
        </row>
        <row r="10">
          <cell r="U10">
            <v>240327.96855999995</v>
          </cell>
        </row>
        <row r="11">
          <cell r="U11">
            <v>9403.4268400000001</v>
          </cell>
        </row>
        <row r="12">
          <cell r="U12">
            <v>0</v>
          </cell>
        </row>
        <row r="14">
          <cell r="U14">
            <v>98067.1973</v>
          </cell>
        </row>
        <row r="16">
          <cell r="U16">
            <v>1800370.9337900002</v>
          </cell>
        </row>
        <row r="18">
          <cell r="U18">
            <v>279295.09666000004</v>
          </cell>
        </row>
        <row r="21">
          <cell r="U21">
            <v>117138.12546000001</v>
          </cell>
        </row>
        <row r="22">
          <cell r="U22">
            <v>10284.674780000001</v>
          </cell>
        </row>
        <row r="25">
          <cell r="U25">
            <v>3756.9557199999999</v>
          </cell>
        </row>
        <row r="31">
          <cell r="U31">
            <v>151471.15</v>
          </cell>
        </row>
        <row r="32">
          <cell r="U32">
            <v>0</v>
          </cell>
        </row>
        <row r="33">
          <cell r="U33">
            <v>25291.3</v>
          </cell>
        </row>
        <row r="35">
          <cell r="U35">
            <v>327845.90000000002</v>
          </cell>
        </row>
        <row r="38">
          <cell r="U38">
            <v>193459.62</v>
          </cell>
        </row>
        <row r="40">
          <cell r="U40">
            <v>197314.43196000002</v>
          </cell>
        </row>
        <row r="41">
          <cell r="U41">
            <v>255.76464999999999</v>
          </cell>
        </row>
        <row r="42">
          <cell r="U42">
            <v>62280.439209999997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  <cell r="G13">
            <v>1149942.3711699999</v>
          </cell>
          <cell r="L13">
            <v>3208847.1718299999</v>
          </cell>
          <cell r="Q13">
            <v>7498920.8284600005</v>
          </cell>
          <cell r="V13">
            <v>2067413.6609100001</v>
          </cell>
        </row>
        <row r="14">
          <cell r="B14">
            <v>94563.616879999987</v>
          </cell>
          <cell r="G14">
            <v>43065.975930000001</v>
          </cell>
          <cell r="L14">
            <v>120833.25942</v>
          </cell>
          <cell r="Q14">
            <v>118603.0814</v>
          </cell>
          <cell r="V14">
            <v>68352.606930000009</v>
          </cell>
        </row>
        <row r="15">
          <cell r="B15">
            <v>48507.899100000002</v>
          </cell>
          <cell r="G15">
            <v>22240.272409999998</v>
          </cell>
          <cell r="L15">
            <v>56708.903610000001</v>
          </cell>
          <cell r="Q15">
            <v>193194.60457</v>
          </cell>
          <cell r="V15">
            <v>44609.878930000006</v>
          </cell>
        </row>
        <row r="16">
          <cell r="B16">
            <v>252950.93533999997</v>
          </cell>
          <cell r="G16">
            <v>113395.34587000002</v>
          </cell>
          <cell r="L16">
            <v>316297.57915000001</v>
          </cell>
          <cell r="Q16">
            <v>625025.23736000003</v>
          </cell>
          <cell r="V16">
            <v>199317.00899999999</v>
          </cell>
        </row>
        <row r="17">
          <cell r="B17">
            <v>6663.3797800000002</v>
          </cell>
          <cell r="G17">
            <v>2529.62329</v>
          </cell>
          <cell r="L17">
            <v>5146.9656100000002</v>
          </cell>
          <cell r="Q17">
            <v>-25679.989349999996</v>
          </cell>
          <cell r="V17">
            <v>-3.2592299999999996</v>
          </cell>
        </row>
        <row r="18">
          <cell r="B18">
            <v>0</v>
          </cell>
          <cell r="G18">
            <v>0</v>
          </cell>
          <cell r="L18">
            <v>0</v>
          </cell>
          <cell r="Q18">
            <v>0</v>
          </cell>
          <cell r="V18">
            <v>0</v>
          </cell>
        </row>
        <row r="19">
          <cell r="B19">
            <v>2082154.6153599997</v>
          </cell>
          <cell r="G19">
            <v>968711.15366999991</v>
          </cell>
          <cell r="L19">
            <v>2709860.46404</v>
          </cell>
          <cell r="Q19">
            <v>6587777.8944800012</v>
          </cell>
          <cell r="V19">
            <v>1755137.4252800001</v>
          </cell>
        </row>
        <row r="20">
          <cell r="B20">
            <v>103243.59821000001</v>
          </cell>
          <cell r="G20">
            <v>39543.609579999997</v>
          </cell>
          <cell r="L20">
            <v>63352.480029999992</v>
          </cell>
          <cell r="Q20">
            <v>28808.757999999998</v>
          </cell>
          <cell r="V20">
            <v>84056.689610000001</v>
          </cell>
        </row>
        <row r="21">
          <cell r="B21">
            <v>2185398.2135699997</v>
          </cell>
          <cell r="G21">
            <v>1008254.76325</v>
          </cell>
          <cell r="L21">
            <v>2773212.9440700002</v>
          </cell>
          <cell r="Q21">
            <v>6616586.6524800016</v>
          </cell>
          <cell r="V21">
            <v>1839194.1148900001</v>
          </cell>
        </row>
        <row r="22">
          <cell r="B22">
            <v>1887481.5540499999</v>
          </cell>
          <cell r="G22">
            <v>916774.30652999994</v>
          </cell>
          <cell r="L22">
            <v>2497942.0848699999</v>
          </cell>
          <cell r="Q22">
            <v>6131325.6129700001</v>
          </cell>
          <cell r="V22">
            <v>1484209.4088599999</v>
          </cell>
        </row>
        <row r="23">
          <cell r="B23">
            <v>86</v>
          </cell>
          <cell r="G23">
            <v>91</v>
          </cell>
          <cell r="L23">
            <v>90</v>
          </cell>
          <cell r="Q23">
            <v>93</v>
          </cell>
          <cell r="V23">
            <v>81</v>
          </cell>
        </row>
        <row r="24">
          <cell r="B24">
            <v>265119.79590000003</v>
          </cell>
          <cell r="G24">
            <v>99026.747810000001</v>
          </cell>
          <cell r="L24">
            <v>193161.16873</v>
          </cell>
          <cell r="Q24">
            <v>345403.38823000004</v>
          </cell>
          <cell r="V24">
            <v>206453.51366999999</v>
          </cell>
        </row>
        <row r="25">
          <cell r="B25">
            <v>12</v>
          </cell>
          <cell r="G25">
            <v>10</v>
          </cell>
          <cell r="L25">
            <v>7</v>
          </cell>
          <cell r="Q25">
            <v>5</v>
          </cell>
          <cell r="V25">
            <v>11</v>
          </cell>
        </row>
        <row r="26">
          <cell r="B26">
            <v>32796.863619999727</v>
          </cell>
          <cell r="G26">
            <v>-7546.2910899999843</v>
          </cell>
          <cell r="L26">
            <v>82109.690470000292</v>
          </cell>
          <cell r="Q26">
            <v>139857.65128000139</v>
          </cell>
          <cell r="V26">
            <v>148531.19236000025</v>
          </cell>
        </row>
        <row r="27">
          <cell r="B27">
            <v>112579.96638</v>
          </cell>
          <cell r="G27">
            <v>13326.353899999998</v>
          </cell>
          <cell r="L27">
            <v>72803.460060000012</v>
          </cell>
          <cell r="Q27">
            <v>123899.15535000002</v>
          </cell>
          <cell r="V27">
            <v>85641.978460000013</v>
          </cell>
        </row>
        <row r="28">
          <cell r="B28">
            <v>10124.333419999999</v>
          </cell>
          <cell r="G28">
            <v>7533.6610300000002</v>
          </cell>
          <cell r="L28">
            <v>16631.456130000002</v>
          </cell>
          <cell r="Q28">
            <v>19020.78873</v>
          </cell>
          <cell r="V28">
            <v>19283.108919999999</v>
          </cell>
        </row>
        <row r="29">
          <cell r="B29">
            <v>-89907.436180000266</v>
          </cell>
          <cell r="G29">
            <v>-28406.306019999982</v>
          </cell>
          <cell r="L29">
            <v>-7325.2257199997221</v>
          </cell>
          <cell r="Q29">
            <v>-3062.2927999986277</v>
          </cell>
          <cell r="V29">
            <v>43606.104980000237</v>
          </cell>
        </row>
        <row r="30">
          <cell r="B30">
            <v>-4</v>
          </cell>
          <cell r="G30">
            <v>-3</v>
          </cell>
          <cell r="L30">
            <v>0</v>
          </cell>
          <cell r="Q30">
            <v>0</v>
          </cell>
          <cell r="V30">
            <v>2</v>
          </cell>
        </row>
        <row r="31">
          <cell r="B31">
            <v>4005.9309799999996</v>
          </cell>
          <cell r="G31">
            <v>338.71864000000005</v>
          </cell>
          <cell r="L31">
            <v>3865.4299600000004</v>
          </cell>
          <cell r="Q31">
            <v>0</v>
          </cell>
          <cell r="V31">
            <v>0</v>
          </cell>
        </row>
        <row r="32">
          <cell r="B32">
            <v>-93913.367160000271</v>
          </cell>
          <cell r="G32">
            <v>-28745.024659999981</v>
          </cell>
          <cell r="L32">
            <v>-11190.655679999723</v>
          </cell>
          <cell r="Q32">
            <v>-3062.2927999986277</v>
          </cell>
          <cell r="V32">
            <v>43606.104980000237</v>
          </cell>
        </row>
        <row r="33">
          <cell r="B33">
            <v>-4</v>
          </cell>
          <cell r="G33">
            <v>-3</v>
          </cell>
          <cell r="L33">
            <v>0</v>
          </cell>
          <cell r="Q33">
            <v>0</v>
          </cell>
          <cell r="V33">
            <v>2</v>
          </cell>
        </row>
        <row r="37">
          <cell r="B37">
            <v>147704.60999999999</v>
          </cell>
          <cell r="G37">
            <v>67492.259999999995</v>
          </cell>
          <cell r="L37">
            <v>467953.08</v>
          </cell>
          <cell r="Q37">
            <v>362082.99</v>
          </cell>
          <cell r="V37">
            <v>91898.05</v>
          </cell>
        </row>
        <row r="38">
          <cell r="B38">
            <v>0</v>
          </cell>
          <cell r="G38">
            <v>0</v>
          </cell>
          <cell r="L38">
            <v>0</v>
          </cell>
          <cell r="Q38">
            <v>0</v>
          </cell>
          <cell r="V38">
            <v>0</v>
          </cell>
        </row>
        <row r="39">
          <cell r="B39">
            <v>12134.88</v>
          </cell>
          <cell r="G39">
            <v>13410.75</v>
          </cell>
          <cell r="L39">
            <v>50196.49</v>
          </cell>
          <cell r="Q39">
            <v>108901.47</v>
          </cell>
          <cell r="V39">
            <v>13220.32</v>
          </cell>
        </row>
        <row r="41">
          <cell r="B41">
            <v>323458.73</v>
          </cell>
          <cell r="G41">
            <v>135496.03</v>
          </cell>
          <cell r="L41">
            <v>348586.63</v>
          </cell>
          <cell r="Q41">
            <v>1049588.3799999999</v>
          </cell>
          <cell r="V41">
            <v>473782.79</v>
          </cell>
        </row>
        <row r="42">
          <cell r="B42">
            <v>1.1715555315220769</v>
          </cell>
          <cell r="G42">
            <v>1.0604568546850444</v>
          </cell>
          <cell r="L42">
            <v>0.97769681820365872</v>
          </cell>
          <cell r="Q42">
            <v>1.2596873118261627</v>
          </cell>
          <cell r="V42">
            <v>2.0625021448891476</v>
          </cell>
        </row>
        <row r="43">
          <cell r="B43" t="str">
            <v xml:space="preserve"> </v>
          </cell>
          <cell r="G43" t="str">
            <v xml:space="preserve"> </v>
          </cell>
          <cell r="L43" t="str">
            <v xml:space="preserve"> </v>
          </cell>
          <cell r="Q43" t="str">
            <v xml:space="preserve"> </v>
          </cell>
          <cell r="V43" t="str">
            <v xml:space="preserve"> </v>
          </cell>
        </row>
        <row r="44">
          <cell r="B44">
            <v>323458.73</v>
          </cell>
          <cell r="G44">
            <v>94096.71</v>
          </cell>
          <cell r="L44">
            <v>223533.88</v>
          </cell>
          <cell r="Q44">
            <v>395271.25</v>
          </cell>
          <cell r="V44">
            <v>169376.06</v>
          </cell>
        </row>
        <row r="45">
          <cell r="B45">
            <v>1.5423348449438055</v>
          </cell>
          <cell r="G45">
            <v>0.92375013563088726</v>
          </cell>
          <cell r="L45">
            <v>0.80538493353607921</v>
          </cell>
          <cell r="Q45">
            <v>0.58020752355326044</v>
          </cell>
          <cell r="V45">
            <v>1.0270683711477466</v>
          </cell>
        </row>
        <row r="46">
          <cell r="B46">
            <v>214923.62437666664</v>
          </cell>
          <cell r="G46">
            <v>104884.01369222222</v>
          </cell>
          <cell r="L46">
            <v>313490.17409444443</v>
          </cell>
          <cell r="Q46">
            <v>746923.41394333332</v>
          </cell>
          <cell r="V46">
            <v>163965.43670222221</v>
          </cell>
        </row>
        <row r="47">
          <cell r="B47">
            <v>17.75</v>
          </cell>
          <cell r="G47">
            <v>45.610289999999999</v>
          </cell>
          <cell r="L47">
            <v>899.90746000000001</v>
          </cell>
          <cell r="Q47">
            <v>96095.397200000007</v>
          </cell>
          <cell r="V47">
            <v>5425.2747900000004</v>
          </cell>
        </row>
        <row r="48">
          <cell r="B48">
            <v>40929.174420000003</v>
          </cell>
          <cell r="G48">
            <v>19360.400320000001</v>
          </cell>
          <cell r="L48">
            <v>53595.428</v>
          </cell>
          <cell r="Q48">
            <v>181902.06255999999</v>
          </cell>
          <cell r="V48">
            <v>43897.768219999998</v>
          </cell>
        </row>
        <row r="52">
          <cell r="B52">
            <v>259479.23915000001</v>
          </cell>
          <cell r="G52">
            <v>80447.831760000001</v>
          </cell>
          <cell r="L52">
            <v>355956.22074000002</v>
          </cell>
          <cell r="Q52">
            <v>164751.34377000001</v>
          </cell>
          <cell r="V52">
            <v>334297.77552999998</v>
          </cell>
        </row>
        <row r="53">
          <cell r="B53">
            <v>274219.78964999999</v>
          </cell>
          <cell r="G53">
            <v>84824.847760000004</v>
          </cell>
          <cell r="L53">
            <v>378209.39604000002</v>
          </cell>
          <cell r="Q53">
            <v>164751.34833000001</v>
          </cell>
          <cell r="V53">
            <v>334300.48208999995</v>
          </cell>
        </row>
        <row r="54">
          <cell r="B54">
            <v>-12.141323766700891</v>
          </cell>
          <cell r="G54">
            <v>-4.7344734823942511</v>
          </cell>
          <cell r="L54">
            <v>-3.0994860322963542</v>
          </cell>
          <cell r="Q54">
            <v>-1.9282618923099701E-6</v>
          </cell>
          <cell r="V54">
            <v>-3.2716387542522954E-4</v>
          </cell>
        </row>
        <row r="55">
          <cell r="B55">
            <v>-14740.550499999983</v>
          </cell>
          <cell r="G55">
            <v>-4377.0160000000033</v>
          </cell>
          <cell r="L55">
            <v>-22253.175300000003</v>
          </cell>
          <cell r="Q55">
            <v>-4.5600000012200326E-3</v>
          </cell>
          <cell r="V55">
            <v>-2.7065599999623373</v>
          </cell>
        </row>
        <row r="56">
          <cell r="B56">
            <v>-2000.2543400000002</v>
          </cell>
          <cell r="G56">
            <v>890.03399999999999</v>
          </cell>
          <cell r="L56">
            <v>100038.99575</v>
          </cell>
          <cell r="Q56">
            <v>6819.8754400000007</v>
          </cell>
          <cell r="V56">
            <v>142713.14566000001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951170.29263999988</v>
          </cell>
        </row>
        <row r="6">
          <cell r="U6">
            <v>14959.532330000004</v>
          </cell>
        </row>
        <row r="7">
          <cell r="U7">
            <v>31754.832660000004</v>
          </cell>
        </row>
        <row r="10">
          <cell r="U10">
            <v>86531.310949999999</v>
          </cell>
        </row>
        <row r="11">
          <cell r="U11">
            <v>2130.69263</v>
          </cell>
        </row>
        <row r="12">
          <cell r="U12">
            <v>0</v>
          </cell>
        </row>
        <row r="14">
          <cell r="U14">
            <v>38448.275250000006</v>
          </cell>
        </row>
        <row r="16">
          <cell r="U16">
            <v>756369.46613000007</v>
          </cell>
        </row>
        <row r="18">
          <cell r="U18">
            <v>97527.426869999996</v>
          </cell>
        </row>
        <row r="21">
          <cell r="U21">
            <v>13326.353899999998</v>
          </cell>
        </row>
        <row r="22">
          <cell r="U22">
            <v>8050.0304699999997</v>
          </cell>
        </row>
        <row r="25">
          <cell r="U25">
            <v>346.94708000000003</v>
          </cell>
        </row>
        <row r="31">
          <cell r="U31">
            <v>26074.71</v>
          </cell>
        </row>
        <row r="32">
          <cell r="U32">
            <v>0</v>
          </cell>
        </row>
        <row r="33">
          <cell r="U33">
            <v>857.93</v>
          </cell>
        </row>
        <row r="35">
          <cell r="U35">
            <v>219095.71</v>
          </cell>
        </row>
        <row r="38">
          <cell r="U38">
            <v>90971.05</v>
          </cell>
        </row>
        <row r="40">
          <cell r="U40">
            <v>84097.569352222228</v>
          </cell>
        </row>
        <row r="41">
          <cell r="U41">
            <v>5287.4421400000001</v>
          </cell>
        </row>
        <row r="42">
          <cell r="U42">
            <v>30260.752800000002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2858719.7672000001</v>
          </cell>
        </row>
        <row r="6">
          <cell r="U6">
            <v>140055.91214999999</v>
          </cell>
        </row>
        <row r="7">
          <cell r="U7">
            <v>83873.272339999996</v>
          </cell>
        </row>
        <row r="10">
          <cell r="U10">
            <v>298091.40133999998</v>
          </cell>
        </row>
        <row r="11">
          <cell r="U11">
            <v>4937.65247</v>
          </cell>
        </row>
        <row r="12">
          <cell r="U12">
            <v>0</v>
          </cell>
        </row>
        <row r="14">
          <cell r="U14">
            <v>63575.776110000006</v>
          </cell>
        </row>
        <row r="16">
          <cell r="U16">
            <v>2109381.18408</v>
          </cell>
        </row>
        <row r="18">
          <cell r="U18">
            <v>226847.71119999999</v>
          </cell>
        </row>
        <row r="21">
          <cell r="U21">
            <v>67654.479149999999</v>
          </cell>
        </row>
        <row r="22">
          <cell r="U22">
            <v>24025.77548</v>
          </cell>
        </row>
        <row r="25">
          <cell r="U25">
            <v>273.14769999999999</v>
          </cell>
        </row>
        <row r="31">
          <cell r="U31">
            <v>521682.52</v>
          </cell>
        </row>
        <row r="32">
          <cell r="U32">
            <v>0</v>
          </cell>
        </row>
        <row r="33">
          <cell r="U33">
            <v>159080.67000000001</v>
          </cell>
        </row>
        <row r="35">
          <cell r="U35">
            <v>369768.6</v>
          </cell>
        </row>
        <row r="38">
          <cell r="U38">
            <v>209482.42</v>
          </cell>
        </row>
        <row r="40">
          <cell r="U40">
            <v>258035.35440444446</v>
          </cell>
        </row>
        <row r="41">
          <cell r="U41">
            <v>757.45778000000007</v>
          </cell>
        </row>
        <row r="42">
          <cell r="U42">
            <v>80733.073279999997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8069212.5432799999</v>
          </cell>
        </row>
        <row r="6">
          <cell r="U6">
            <v>130586.45733999998</v>
          </cell>
        </row>
        <row r="7">
          <cell r="U7">
            <v>293903.89358000003</v>
          </cell>
        </row>
        <row r="10">
          <cell r="U10">
            <v>695168.49193999998</v>
          </cell>
        </row>
        <row r="11">
          <cell r="U11">
            <v>-25679.989349999996</v>
          </cell>
        </row>
        <row r="12">
          <cell r="U12">
            <v>0</v>
          </cell>
        </row>
        <row r="14">
          <cell r="U14">
            <v>49227.559680000006</v>
          </cell>
        </row>
        <row r="16">
          <cell r="U16">
            <v>6592803.1029899996</v>
          </cell>
        </row>
        <row r="18">
          <cell r="U18">
            <v>397758.75507000001</v>
          </cell>
        </row>
        <row r="21">
          <cell r="U21">
            <v>122784.80225000001</v>
          </cell>
        </row>
        <row r="22">
          <cell r="U22">
            <v>21034.732490000002</v>
          </cell>
        </row>
        <row r="25">
          <cell r="U25">
            <v>0</v>
          </cell>
        </row>
        <row r="31">
          <cell r="U31">
            <v>290143.82</v>
          </cell>
        </row>
        <row r="32">
          <cell r="U32">
            <v>0</v>
          </cell>
        </row>
        <row r="33">
          <cell r="U33">
            <v>36288.379999999997</v>
          </cell>
        </row>
        <row r="35">
          <cell r="U35">
            <v>1490105.08</v>
          </cell>
        </row>
        <row r="38">
          <cell r="U38">
            <v>788677.43</v>
          </cell>
        </row>
        <row r="40">
          <cell r="U40">
            <v>825980.46918888902</v>
          </cell>
        </row>
        <row r="41">
          <cell r="U41">
            <v>89970.916939999996</v>
          </cell>
        </row>
        <row r="42">
          <cell r="U42">
            <v>266782.94575000001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Sheet1"/>
    </sheetNames>
    <sheetDataSet>
      <sheetData sheetId="0">
        <row r="5">
          <cell r="U5">
            <v>2029364.6968</v>
          </cell>
        </row>
        <row r="6">
          <cell r="U6">
            <v>78748.922220000008</v>
          </cell>
        </row>
        <row r="7">
          <cell r="U7">
            <v>65600.781599999988</v>
          </cell>
        </row>
        <row r="10">
          <cell r="U10">
            <v>196259.52240000002</v>
          </cell>
        </row>
        <row r="11">
          <cell r="U11">
            <v>137.27811000000003</v>
          </cell>
        </row>
        <row r="12">
          <cell r="U12">
            <v>0</v>
          </cell>
        </row>
        <row r="14">
          <cell r="U14">
            <v>85598.662229999987</v>
          </cell>
        </row>
        <row r="16">
          <cell r="U16">
            <v>1493919.8447700001</v>
          </cell>
        </row>
        <row r="18">
          <cell r="U18">
            <v>238879.23103999998</v>
          </cell>
        </row>
        <row r="21">
          <cell r="U21">
            <v>99475.337479999987</v>
          </cell>
        </row>
        <row r="22">
          <cell r="U22">
            <v>22778.560320000004</v>
          </cell>
        </row>
        <row r="25">
          <cell r="U25">
            <v>131.93204</v>
          </cell>
        </row>
        <row r="31">
          <cell r="U31">
            <v>101117.37</v>
          </cell>
        </row>
        <row r="32">
          <cell r="U32">
            <v>0</v>
          </cell>
        </row>
        <row r="33">
          <cell r="U33">
            <v>9061.23</v>
          </cell>
        </row>
        <row r="35">
          <cell r="U35">
            <v>440196.16</v>
          </cell>
        </row>
        <row r="38">
          <cell r="U38">
            <v>211358.42</v>
          </cell>
        </row>
        <row r="40">
          <cell r="U40">
            <v>155154.25337777779</v>
          </cell>
        </row>
        <row r="41">
          <cell r="U41">
            <v>1752.0716100000002</v>
          </cell>
        </row>
        <row r="42">
          <cell r="U42">
            <v>64192.492419999995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42">
          <cell r="X142">
            <v>264335.56315</v>
          </cell>
          <cell r="Y142">
            <v>84145.82776</v>
          </cell>
          <cell r="Z142">
            <v>387032.46674</v>
          </cell>
          <cell r="AA142">
            <v>171845.81976999997</v>
          </cell>
          <cell r="AB142">
            <v>367031.94103999995</v>
          </cell>
        </row>
        <row r="143">
          <cell r="X143">
            <v>279076.11365000001</v>
          </cell>
          <cell r="Y143">
            <v>88522.843760000003</v>
          </cell>
          <cell r="Z143">
            <v>409285.64004000003</v>
          </cell>
          <cell r="AA143">
            <v>171845.82132999998</v>
          </cell>
          <cell r="AB143">
            <v>367251.95461686794</v>
          </cell>
        </row>
        <row r="144">
          <cell r="X144">
            <v>-12.141323766700914</v>
          </cell>
          <cell r="Y144">
            <v>-4.7344734823942511</v>
          </cell>
          <cell r="Z144">
            <v>-2.7589234789961212</v>
          </cell>
          <cell r="AA144">
            <v>0</v>
          </cell>
          <cell r="AB144">
            <v>-2.7181525914748948E-2</v>
          </cell>
        </row>
        <row r="145">
          <cell r="X145">
            <v>-14740.550500000012</v>
          </cell>
          <cell r="Y145">
            <v>-4377.0160000000033</v>
          </cell>
          <cell r="Z145">
            <v>-22253.173300000024</v>
          </cell>
          <cell r="AA145">
            <v>-1.5600000042468309E-3</v>
          </cell>
          <cell r="AB145">
            <v>-220.0135768679902</v>
          </cell>
        </row>
        <row r="146">
          <cell r="I146">
            <v>-2.2728800620321516</v>
          </cell>
          <cell r="X146">
            <v>-6185.151340000004</v>
          </cell>
          <cell r="Y146">
            <v>-2568.7970000000018</v>
          </cell>
          <cell r="Z146">
            <v>91940.941750000013</v>
          </cell>
          <cell r="AA146">
            <v>-1.5599999995902182E-3</v>
          </cell>
          <cell r="AB146">
            <v>167552.56413313205</v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profile(mcso)"/>
      <sheetName val="nea-bit"/>
      <sheetName val="Sheet1"/>
      <sheetName val="NEA-BIT (2)"/>
      <sheetName val="EQA conso"/>
    </sheetNames>
    <sheetDataSet>
      <sheetData sheetId="0">
        <row r="16">
          <cell r="I16">
            <v>-0.58526318581675807</v>
          </cell>
        </row>
        <row r="146">
          <cell r="I146">
            <v>-2.0732510061969878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  <row r="67">
          <cell r="B67">
            <v>97.41</v>
          </cell>
          <cell r="G67" t="str">
            <v>100</v>
          </cell>
          <cell r="L67">
            <v>99.47</v>
          </cell>
          <cell r="Q67">
            <v>97.43</v>
          </cell>
          <cell r="V67">
            <v>91.6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113">
          <cell r="A113" t="str">
            <v>COTELCO</v>
          </cell>
          <cell r="N113">
            <v>98.064550807249304</v>
          </cell>
          <cell r="P113">
            <v>4593.9568499999996</v>
          </cell>
          <cell r="S113">
            <v>151471.15349</v>
          </cell>
        </row>
        <row r="114">
          <cell r="A114" t="str">
            <v>COTELCO-PPALMA</v>
          </cell>
          <cell r="N114">
            <v>97.636077413140981</v>
          </cell>
          <cell r="P114">
            <v>-6418.4958999999981</v>
          </cell>
          <cell r="S114">
            <v>26074.70897</v>
          </cell>
        </row>
        <row r="115">
          <cell r="A115" t="str">
            <v>SOCOTECO I</v>
          </cell>
          <cell r="N115">
            <v>98.41020190914989</v>
          </cell>
          <cell r="P115">
            <v>107210.91329000001</v>
          </cell>
          <cell r="S115">
            <v>521682.51548</v>
          </cell>
        </row>
        <row r="116">
          <cell r="A116" t="str">
            <v>SOCOTECO II</v>
          </cell>
          <cell r="N116">
            <v>94.170161077402895</v>
          </cell>
          <cell r="P116">
            <v>20666.312059999949</v>
          </cell>
          <cell r="S116">
            <v>290143.82263999997</v>
          </cell>
        </row>
        <row r="117">
          <cell r="A117" t="str">
            <v>SUKELCO</v>
          </cell>
          <cell r="N117">
            <v>100</v>
          </cell>
          <cell r="P117">
            <v>-2219.1316099999949</v>
          </cell>
          <cell r="S117">
            <v>101117.37347000001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87"/>
  <sheetViews>
    <sheetView tabSelected="1" zoomScale="70" zoomScaleNormal="70" workbookViewId="0">
      <pane xSplit="1" ySplit="10" topLeftCell="B68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B73" sqref="AB73"/>
    </sheetView>
  </sheetViews>
  <sheetFormatPr defaultColWidth="9.140625" defaultRowHeight="15" x14ac:dyDescent="0.2"/>
  <cols>
    <col min="1" max="1" width="43.42578125" style="2" customWidth="1"/>
    <col min="2" max="2" width="14.140625" style="2" customWidth="1"/>
    <col min="3" max="3" width="16.140625" style="2" customWidth="1"/>
    <col min="4" max="4" width="16.85546875" style="2" bestFit="1" customWidth="1"/>
    <col min="5" max="5" width="10.5703125" style="2" customWidth="1"/>
    <col min="6" max="6" width="1.42578125" style="2" customWidth="1"/>
    <col min="7" max="7" width="14.140625" style="2" customWidth="1"/>
    <col min="8" max="8" width="16.140625" style="2" customWidth="1"/>
    <col min="9" max="9" width="16.85546875" style="2" bestFit="1" customWidth="1"/>
    <col min="10" max="10" width="10.5703125" style="2" customWidth="1"/>
    <col min="11" max="11" width="1.42578125" style="2" customWidth="1"/>
    <col min="12" max="12" width="14.140625" style="2" customWidth="1"/>
    <col min="13" max="13" width="16.140625" style="2" customWidth="1"/>
    <col min="14" max="14" width="16.85546875" style="2" customWidth="1"/>
    <col min="15" max="15" width="10.5703125" style="2" customWidth="1"/>
    <col min="16" max="16" width="1.5703125" style="2" customWidth="1"/>
    <col min="17" max="17" width="16.140625" style="2" bestFit="1" customWidth="1"/>
    <col min="18" max="18" width="16.140625" style="2" customWidth="1"/>
    <col min="19" max="19" width="16.85546875" style="2" bestFit="1" customWidth="1"/>
    <col min="20" max="20" width="10.5703125" style="2" customWidth="1"/>
    <col min="21" max="21" width="1.5703125" style="2" customWidth="1"/>
    <col min="22" max="22" width="14.140625" style="2" customWidth="1"/>
    <col min="23" max="23" width="16.140625" style="2" customWidth="1"/>
    <col min="24" max="24" width="16.85546875" style="2" customWidth="1"/>
    <col min="25" max="25" width="10.5703125" style="2" customWidth="1"/>
    <col min="26" max="26" width="1.5703125" style="2" customWidth="1"/>
    <col min="27" max="27" width="14.42578125" style="2" customWidth="1"/>
    <col min="28" max="28" width="17.5703125" style="2" customWidth="1"/>
    <col min="29" max="29" width="18.42578125" style="2" bestFit="1" customWidth="1"/>
    <col min="30" max="30" width="10.5703125" style="2" customWidth="1"/>
    <col min="31" max="39" width="14.140625" style="2" customWidth="1"/>
    <col min="40" max="16384" width="9.140625" style="2"/>
  </cols>
  <sheetData>
    <row r="1" spans="1:30" ht="15.95" customHeight="1" x14ac:dyDescent="0.25">
      <c r="A1" s="1" t="s">
        <v>0</v>
      </c>
    </row>
    <row r="2" spans="1:30" ht="15.75" customHeight="1" x14ac:dyDescent="0.25">
      <c r="A2" s="1" t="str">
        <f>[1]REG1!A2</f>
        <v>Financial Profile as of September 30, 2024</v>
      </c>
    </row>
    <row r="3" spans="1:30" ht="15.95" customHeight="1" x14ac:dyDescent="0.25">
      <c r="A3" s="1" t="str">
        <f>[1]REG1!A3</f>
        <v>With Comparative Figures as of September 30, 2023</v>
      </c>
    </row>
    <row r="4" spans="1:30" ht="15.95" customHeight="1" x14ac:dyDescent="0.2">
      <c r="A4" s="3" t="s">
        <v>1</v>
      </c>
    </row>
    <row r="5" spans="1:30" ht="14.25" customHeight="1" x14ac:dyDescent="0.2">
      <c r="A5"/>
      <c r="B5" s="4"/>
      <c r="C5" s="4"/>
      <c r="D5" s="4"/>
      <c r="E5" s="4"/>
      <c r="L5" s="4"/>
      <c r="M5" s="4"/>
      <c r="N5" s="4"/>
      <c r="O5" s="4"/>
      <c r="Q5" s="4"/>
      <c r="R5" s="4"/>
      <c r="S5" s="4"/>
      <c r="T5" s="4"/>
      <c r="V5" s="4"/>
      <c r="W5" s="4"/>
      <c r="X5" s="4"/>
      <c r="Y5" s="4"/>
      <c r="AA5" s="4"/>
      <c r="AB5" s="4"/>
      <c r="AC5" s="4"/>
      <c r="AD5" s="4"/>
    </row>
    <row r="6" spans="1:30" ht="15.75" x14ac:dyDescent="0.25">
      <c r="B6" s="5" t="s">
        <v>2</v>
      </c>
      <c r="C6" s="5"/>
      <c r="D6" s="5"/>
      <c r="E6" s="5"/>
      <c r="G6" s="5" t="s">
        <v>3</v>
      </c>
      <c r="H6" s="5"/>
      <c r="I6" s="5"/>
      <c r="J6" s="5"/>
      <c r="L6" s="5" t="s">
        <v>4</v>
      </c>
      <c r="M6" s="5"/>
      <c r="N6" s="5"/>
      <c r="O6" s="5"/>
      <c r="P6" s="6"/>
      <c r="Q6" s="5" t="s">
        <v>5</v>
      </c>
      <c r="R6" s="5"/>
      <c r="S6" s="5"/>
      <c r="T6" s="5"/>
      <c r="U6" s="7"/>
      <c r="V6" s="5" t="s">
        <v>6</v>
      </c>
      <c r="W6" s="5"/>
      <c r="X6" s="5"/>
      <c r="Y6" s="5"/>
      <c r="Z6" s="6"/>
      <c r="AA6" s="5" t="s">
        <v>7</v>
      </c>
      <c r="AB6" s="5"/>
      <c r="AC6" s="5"/>
      <c r="AD6" s="5"/>
    </row>
    <row r="7" spans="1:30" ht="9.9499999999999993" customHeight="1" x14ac:dyDescent="0.2">
      <c r="A7"/>
    </row>
    <row r="8" spans="1:30" ht="15.95" customHeight="1" x14ac:dyDescent="0.2">
      <c r="A8"/>
      <c r="B8" s="8">
        <v>2024</v>
      </c>
      <c r="C8" s="8">
        <v>2023</v>
      </c>
      <c r="D8" s="4" t="s">
        <v>8</v>
      </c>
      <c r="E8" s="4"/>
      <c r="G8" s="8">
        <v>2024</v>
      </c>
      <c r="H8" s="8">
        <v>2023</v>
      </c>
      <c r="I8" s="4" t="s">
        <v>8</v>
      </c>
      <c r="J8" s="4"/>
      <c r="L8" s="8">
        <v>2024</v>
      </c>
      <c r="M8" s="8">
        <v>2023</v>
      </c>
      <c r="N8" s="4" t="s">
        <v>8</v>
      </c>
      <c r="O8" s="4"/>
      <c r="P8" s="8"/>
      <c r="Q8" s="8">
        <v>2024</v>
      </c>
      <c r="R8" s="8">
        <v>2023</v>
      </c>
      <c r="S8" s="4" t="s">
        <v>8</v>
      </c>
      <c r="T8" s="4"/>
      <c r="V8" s="8">
        <v>2024</v>
      </c>
      <c r="W8" s="8">
        <v>2023</v>
      </c>
      <c r="X8" s="4" t="s">
        <v>8</v>
      </c>
      <c r="Y8" s="4"/>
      <c r="Z8" s="8"/>
      <c r="AA8" s="8">
        <v>2024</v>
      </c>
      <c r="AB8" s="8">
        <v>2023</v>
      </c>
      <c r="AC8" s="4" t="s">
        <v>8</v>
      </c>
      <c r="AD8" s="4"/>
    </row>
    <row r="9" spans="1:30" ht="15.95" customHeight="1" x14ac:dyDescent="0.2">
      <c r="A9"/>
      <c r="B9" s="8" t="str">
        <f>'[1]DON''T DELETE'!$B$5</f>
        <v>September</v>
      </c>
      <c r="C9" s="8" t="str">
        <f>'[1]DON''T DELETE'!$B$5</f>
        <v>September</v>
      </c>
      <c r="D9" s="8" t="s">
        <v>9</v>
      </c>
      <c r="E9" s="8" t="s">
        <v>10</v>
      </c>
      <c r="G9" s="8" t="str">
        <f>'[1]DON''T DELETE'!$B$5</f>
        <v>September</v>
      </c>
      <c r="H9" s="8" t="str">
        <f>'[1]DON''T DELETE'!$B$5</f>
        <v>September</v>
      </c>
      <c r="I9" s="8" t="s">
        <v>9</v>
      </c>
      <c r="J9" s="8" t="s">
        <v>10</v>
      </c>
      <c r="L9" s="8" t="str">
        <f>'[1]DON''T DELETE'!$B$5</f>
        <v>September</v>
      </c>
      <c r="M9" s="8" t="str">
        <f>'[1]DON''T DELETE'!$B$5</f>
        <v>September</v>
      </c>
      <c r="N9" s="8" t="s">
        <v>9</v>
      </c>
      <c r="O9" s="8" t="s">
        <v>10</v>
      </c>
      <c r="P9" s="8"/>
      <c r="Q9" s="8" t="str">
        <f>'[1]DON''T DELETE'!$B$5</f>
        <v>September</v>
      </c>
      <c r="R9" s="8" t="str">
        <f>'[1]DON''T DELETE'!$B$5</f>
        <v>September</v>
      </c>
      <c r="S9" s="8" t="s">
        <v>9</v>
      </c>
      <c r="T9" s="8" t="s">
        <v>10</v>
      </c>
      <c r="V9" s="8" t="str">
        <f>'[1]DON''T DELETE'!$B$5</f>
        <v>September</v>
      </c>
      <c r="W9" s="8" t="str">
        <f>'[1]DON''T DELETE'!$B$5</f>
        <v>September</v>
      </c>
      <c r="X9" s="8" t="s">
        <v>9</v>
      </c>
      <c r="Y9" s="8" t="s">
        <v>10</v>
      </c>
      <c r="Z9" s="8"/>
      <c r="AA9" s="8" t="str">
        <f>'[1]DON''T DELETE'!$B$5</f>
        <v>September</v>
      </c>
      <c r="AB9" s="8" t="str">
        <f>'[1]DON''T DELETE'!$B$5</f>
        <v>September</v>
      </c>
      <c r="AC9" s="8" t="s">
        <v>9</v>
      </c>
      <c r="AD9" s="8" t="s">
        <v>10</v>
      </c>
    </row>
    <row r="10" spans="1:30" ht="6.75" customHeight="1" x14ac:dyDescent="0.2">
      <c r="A10"/>
    </row>
    <row r="11" spans="1:30" ht="15.75" x14ac:dyDescent="0.25">
      <c r="A11" s="1" t="s">
        <v>11</v>
      </c>
    </row>
    <row r="12" spans="1:30" ht="9.9499999999999993" customHeight="1" x14ac:dyDescent="0.2">
      <c r="A12"/>
    </row>
    <row r="13" spans="1:30" ht="15" customHeight="1" x14ac:dyDescent="0.2">
      <c r="A13" s="9" t="s">
        <v>12</v>
      </c>
      <c r="B13" s="10">
        <f>[2]FP!U5</f>
        <v>2438034.1108900001</v>
      </c>
      <c r="C13" s="10">
        <f>[3]REG12!B13</f>
        <v>2484840.4464599998</v>
      </c>
      <c r="D13" s="10">
        <f t="shared" ref="D13:D22" si="0">B13-C13</f>
        <v>-46806.335569999646</v>
      </c>
      <c r="E13" s="10">
        <f t="shared" ref="E13:E22" si="1">D13/C13*100</f>
        <v>-1.8836756958251291</v>
      </c>
      <c r="F13" s="10"/>
      <c r="G13" s="10">
        <f>[4]FP!U5</f>
        <v>951170.29263999988</v>
      </c>
      <c r="H13" s="10">
        <f>[3]REG12!G13</f>
        <v>1149942.3711699999</v>
      </c>
      <c r="I13" s="10">
        <f t="shared" ref="I13:I22" si="2">G13-H13</f>
        <v>-198772.07853000006</v>
      </c>
      <c r="J13" s="10">
        <f t="shared" ref="J13:J22" si="3">I13/H13*100</f>
        <v>-17.285394773979927</v>
      </c>
      <c r="K13" s="10"/>
      <c r="L13" s="10">
        <f>[5]FP!U5</f>
        <v>2858719.7672000001</v>
      </c>
      <c r="M13" s="10">
        <f>[3]REG12!L13</f>
        <v>3208847.1718299999</v>
      </c>
      <c r="N13" s="10">
        <f t="shared" ref="N13:N22" si="4">L13-M13</f>
        <v>-350127.40462999977</v>
      </c>
      <c r="O13" s="10">
        <f t="shared" ref="O13:O22" si="5">N13/M13*100</f>
        <v>-10.911314434159317</v>
      </c>
      <c r="P13" s="10"/>
      <c r="Q13" s="10">
        <f>[6]FP!U5</f>
        <v>8069212.5432799999</v>
      </c>
      <c r="R13" s="10">
        <f>[3]REG12!Q13</f>
        <v>7498920.8284600005</v>
      </c>
      <c r="S13" s="10">
        <f t="shared" ref="S13:S22" si="6">Q13-R13</f>
        <v>570291.71481999941</v>
      </c>
      <c r="T13" s="10">
        <f t="shared" ref="T13:T22" si="7">S13/R13*100</f>
        <v>7.6049838085451045</v>
      </c>
      <c r="U13" s="10"/>
      <c r="V13" s="10">
        <f>[7]FP!U5</f>
        <v>2029364.6968</v>
      </c>
      <c r="W13" s="10">
        <f>[3]REG12!V13</f>
        <v>2067413.6609100001</v>
      </c>
      <c r="X13" s="10">
        <f t="shared" ref="X13:X22" si="8">V13-W13</f>
        <v>-38048.964110000059</v>
      </c>
      <c r="Y13" s="10">
        <f t="shared" ref="Y13:Y22" si="9">X13/W13*100</f>
        <v>-1.8404136931770245</v>
      </c>
      <c r="Z13" s="10"/>
      <c r="AA13" s="10">
        <f t="shared" ref="AA13:AB24" si="10">+B13+L13+Q13+V13+G13</f>
        <v>16346501.410810001</v>
      </c>
      <c r="AB13" s="10">
        <f t="shared" si="10"/>
        <v>16409964.478829999</v>
      </c>
      <c r="AC13" s="10">
        <f t="shared" ref="AC13:AC22" si="11">AA13-AB13</f>
        <v>-63463.068019997329</v>
      </c>
      <c r="AD13" s="10">
        <f t="shared" ref="AD13:AD22" si="12">AC13/AB13*100</f>
        <v>-0.38673495059583535</v>
      </c>
    </row>
    <row r="14" spans="1:30" ht="15" customHeight="1" x14ac:dyDescent="0.2">
      <c r="A14" s="9" t="s">
        <v>13</v>
      </c>
      <c r="B14" s="10">
        <f>[2]FP!U6</f>
        <v>107688.76316</v>
      </c>
      <c r="C14" s="10">
        <f>[3]REG12!B14</f>
        <v>94563.616879999987</v>
      </c>
      <c r="D14" s="10">
        <f t="shared" si="0"/>
        <v>13125.146280000015</v>
      </c>
      <c r="E14" s="10">
        <f t="shared" si="1"/>
        <v>13.879699944911856</v>
      </c>
      <c r="F14" s="10"/>
      <c r="G14" s="10">
        <f>[4]FP!U6</f>
        <v>14959.532330000004</v>
      </c>
      <c r="H14" s="10">
        <f>[3]REG12!G14</f>
        <v>43065.975930000001</v>
      </c>
      <c r="I14" s="10">
        <f t="shared" si="2"/>
        <v>-28106.443599999999</v>
      </c>
      <c r="J14" s="10">
        <f t="shared" si="3"/>
        <v>-65.263686687803329</v>
      </c>
      <c r="K14" s="10"/>
      <c r="L14" s="10">
        <f>[5]FP!U6</f>
        <v>140055.91214999999</v>
      </c>
      <c r="M14" s="10">
        <f>[3]REG12!L14</f>
        <v>120833.25942</v>
      </c>
      <c r="N14" s="10">
        <f t="shared" si="4"/>
        <v>19222.652729999987</v>
      </c>
      <c r="O14" s="10">
        <f t="shared" si="5"/>
        <v>15.908411990431093</v>
      </c>
      <c r="P14" s="10"/>
      <c r="Q14" s="10">
        <f>[6]FP!U6</f>
        <v>130586.45733999998</v>
      </c>
      <c r="R14" s="10">
        <f>[3]REG12!Q14</f>
        <v>118603.0814</v>
      </c>
      <c r="S14" s="10">
        <f t="shared" si="6"/>
        <v>11983.375939999984</v>
      </c>
      <c r="T14" s="10">
        <f t="shared" si="7"/>
        <v>10.103764420407364</v>
      </c>
      <c r="U14" s="10"/>
      <c r="V14" s="10">
        <f>[7]FP!U6</f>
        <v>78748.922220000008</v>
      </c>
      <c r="W14" s="10">
        <f>[3]REG12!V14</f>
        <v>68352.606930000009</v>
      </c>
      <c r="X14" s="10">
        <f t="shared" si="8"/>
        <v>10396.315289999999</v>
      </c>
      <c r="Y14" s="10">
        <f t="shared" si="9"/>
        <v>15.209829963979104</v>
      </c>
      <c r="Z14" s="10"/>
      <c r="AA14" s="10">
        <f t="shared" si="10"/>
        <v>472039.58720000001</v>
      </c>
      <c r="AB14" s="10">
        <f t="shared" si="10"/>
        <v>445418.54056000005</v>
      </c>
      <c r="AC14" s="10">
        <f t="shared" si="11"/>
        <v>26621.046639999957</v>
      </c>
      <c r="AD14" s="10">
        <f t="shared" si="12"/>
        <v>5.9766364028158305</v>
      </c>
    </row>
    <row r="15" spans="1:30" ht="15" customHeight="1" x14ac:dyDescent="0.2">
      <c r="A15" s="9" t="s">
        <v>14</v>
      </c>
      <c r="B15" s="10">
        <f>[2]FP!U7</f>
        <v>70930.166710000005</v>
      </c>
      <c r="C15" s="10">
        <f>[3]REG12!B15</f>
        <v>48507.899100000002</v>
      </c>
      <c r="D15" s="10">
        <f t="shared" si="0"/>
        <v>22422.267610000003</v>
      </c>
      <c r="E15" s="10">
        <f t="shared" si="1"/>
        <v>46.223951203856615</v>
      </c>
      <c r="F15" s="10"/>
      <c r="G15" s="10">
        <f>[4]FP!U7</f>
        <v>31754.832660000004</v>
      </c>
      <c r="H15" s="10">
        <f>[3]REG12!G15</f>
        <v>22240.272409999998</v>
      </c>
      <c r="I15" s="10">
        <f t="shared" si="2"/>
        <v>9514.5602500000059</v>
      </c>
      <c r="J15" s="10">
        <f t="shared" si="3"/>
        <v>42.780772081379411</v>
      </c>
      <c r="K15" s="10"/>
      <c r="L15" s="10">
        <f>[5]FP!U7</f>
        <v>83873.272339999996</v>
      </c>
      <c r="M15" s="10">
        <f>[3]REG12!L15</f>
        <v>56708.903610000001</v>
      </c>
      <c r="N15" s="10">
        <f t="shared" si="4"/>
        <v>27164.368729999995</v>
      </c>
      <c r="O15" s="10">
        <f t="shared" si="5"/>
        <v>47.901417591875031</v>
      </c>
      <c r="P15" s="10"/>
      <c r="Q15" s="10">
        <f>[6]FP!U7</f>
        <v>293903.89358000003</v>
      </c>
      <c r="R15" s="10">
        <f>[3]REG12!Q15</f>
        <v>193194.60457</v>
      </c>
      <c r="S15" s="10">
        <f t="shared" si="6"/>
        <v>100709.28901000004</v>
      </c>
      <c r="T15" s="10">
        <f t="shared" si="7"/>
        <v>52.128416957684834</v>
      </c>
      <c r="U15" s="10"/>
      <c r="V15" s="10">
        <f>[7]FP!U7</f>
        <v>65600.781599999988</v>
      </c>
      <c r="W15" s="10">
        <f>[3]REG12!V15</f>
        <v>44609.878930000006</v>
      </c>
      <c r="X15" s="10">
        <f t="shared" si="8"/>
        <v>20990.902669999981</v>
      </c>
      <c r="Y15" s="10">
        <f t="shared" si="9"/>
        <v>47.054381615646271</v>
      </c>
      <c r="Z15" s="10"/>
      <c r="AA15" s="10">
        <f t="shared" si="10"/>
        <v>546062.94689000002</v>
      </c>
      <c r="AB15" s="10">
        <f t="shared" si="10"/>
        <v>365261.55861999997</v>
      </c>
      <c r="AC15" s="10">
        <f t="shared" si="11"/>
        <v>180801.38827000005</v>
      </c>
      <c r="AD15" s="10">
        <f t="shared" si="12"/>
        <v>49.499155879717655</v>
      </c>
    </row>
    <row r="16" spans="1:30" ht="15" customHeight="1" x14ac:dyDescent="0.2">
      <c r="A16" s="9" t="s">
        <v>15</v>
      </c>
      <c r="B16" s="10">
        <f>[2]FP!U10</f>
        <v>240327.96855999995</v>
      </c>
      <c r="C16" s="10">
        <f>[3]REG12!B16</f>
        <v>252950.93533999997</v>
      </c>
      <c r="D16" s="10">
        <f t="shared" si="0"/>
        <v>-12622.966780000017</v>
      </c>
      <c r="E16" s="10">
        <f t="shared" si="1"/>
        <v>-4.9902827056294763</v>
      </c>
      <c r="F16" s="10"/>
      <c r="G16" s="10">
        <f>[4]FP!U10</f>
        <v>86531.310949999999</v>
      </c>
      <c r="H16" s="10">
        <f>[3]REG12!G16</f>
        <v>113395.34587000002</v>
      </c>
      <c r="I16" s="10">
        <f t="shared" si="2"/>
        <v>-26864.03492000002</v>
      </c>
      <c r="J16" s="10">
        <f t="shared" si="3"/>
        <v>-23.690597452560173</v>
      </c>
      <c r="K16" s="10"/>
      <c r="L16" s="10">
        <f>[5]FP!U10</f>
        <v>298091.40133999998</v>
      </c>
      <c r="M16" s="10">
        <f>[3]REG12!L16</f>
        <v>316297.57915000001</v>
      </c>
      <c r="N16" s="10">
        <f t="shared" si="4"/>
        <v>-18206.177810000023</v>
      </c>
      <c r="O16" s="10">
        <f t="shared" si="5"/>
        <v>-5.756028186787348</v>
      </c>
      <c r="P16" s="10"/>
      <c r="Q16" s="10">
        <f>[6]FP!U10</f>
        <v>695168.49193999998</v>
      </c>
      <c r="R16" s="10">
        <f>[3]REG12!Q16</f>
        <v>625025.23736000003</v>
      </c>
      <c r="S16" s="10">
        <f t="shared" si="6"/>
        <v>70143.25457999995</v>
      </c>
      <c r="T16" s="10">
        <f t="shared" si="7"/>
        <v>11.222467572073263</v>
      </c>
      <c r="U16" s="10"/>
      <c r="V16" s="10">
        <f>[7]FP!U10</f>
        <v>196259.52240000002</v>
      </c>
      <c r="W16" s="10">
        <f>[3]REG12!V16</f>
        <v>199317.00899999999</v>
      </c>
      <c r="X16" s="10">
        <f t="shared" si="8"/>
        <v>-3057.4865999999747</v>
      </c>
      <c r="Y16" s="10">
        <f t="shared" si="9"/>
        <v>-1.5339817787452223</v>
      </c>
      <c r="Z16" s="10"/>
      <c r="AA16" s="10">
        <f t="shared" si="10"/>
        <v>1516378.6951900001</v>
      </c>
      <c r="AB16" s="10">
        <f t="shared" si="10"/>
        <v>1506986.1067200003</v>
      </c>
      <c r="AC16" s="10">
        <f t="shared" si="11"/>
        <v>9392.5884699998423</v>
      </c>
      <c r="AD16" s="10">
        <f t="shared" si="12"/>
        <v>0.62326974536235702</v>
      </c>
    </row>
    <row r="17" spans="1:40" ht="15" customHeight="1" x14ac:dyDescent="0.2">
      <c r="A17" s="9" t="s">
        <v>16</v>
      </c>
      <c r="B17" s="10">
        <f>[2]FP!U11</f>
        <v>9403.4268400000001</v>
      </c>
      <c r="C17" s="10">
        <f>[3]REG12!B17</f>
        <v>6663.3797800000002</v>
      </c>
      <c r="D17" s="10">
        <f t="shared" si="0"/>
        <v>2740.0470599999999</v>
      </c>
      <c r="E17" s="10">
        <f t="shared" si="1"/>
        <v>41.120979900083078</v>
      </c>
      <c r="F17" s="10"/>
      <c r="G17" s="10">
        <f>[4]FP!U11</f>
        <v>2130.69263</v>
      </c>
      <c r="H17" s="10">
        <f>[3]REG12!G17</f>
        <v>2529.62329</v>
      </c>
      <c r="I17" s="10">
        <f t="shared" si="2"/>
        <v>-398.93065999999999</v>
      </c>
      <c r="J17" s="10">
        <f t="shared" si="3"/>
        <v>-15.770358439418066</v>
      </c>
      <c r="K17" s="10"/>
      <c r="L17" s="10">
        <f>[5]FP!U11</f>
        <v>4937.65247</v>
      </c>
      <c r="M17" s="10">
        <f>[3]REG12!L17</f>
        <v>5146.9656100000002</v>
      </c>
      <c r="N17" s="10">
        <f t="shared" si="4"/>
        <v>-209.3131400000002</v>
      </c>
      <c r="O17" s="10">
        <f t="shared" si="5"/>
        <v>-4.0667289401220659</v>
      </c>
      <c r="P17" s="10"/>
      <c r="Q17" s="10">
        <f>[6]FP!U11</f>
        <v>-25679.989349999996</v>
      </c>
      <c r="R17" s="10">
        <f>[3]REG12!Q17</f>
        <v>-25679.989349999996</v>
      </c>
      <c r="S17" s="10">
        <f t="shared" si="6"/>
        <v>0</v>
      </c>
      <c r="T17" s="10">
        <f t="shared" si="7"/>
        <v>0</v>
      </c>
      <c r="U17" s="10"/>
      <c r="V17" s="10">
        <f>[7]FP!U11</f>
        <v>137.27811000000003</v>
      </c>
      <c r="W17" s="10">
        <f>[3]REG12!V17</f>
        <v>-3.2592299999999996</v>
      </c>
      <c r="X17" s="10">
        <f t="shared" si="8"/>
        <v>140.53734000000003</v>
      </c>
      <c r="Y17" s="10">
        <f t="shared" si="9"/>
        <v>-4311.9798234552345</v>
      </c>
      <c r="Z17" s="10"/>
      <c r="AA17" s="10">
        <f t="shared" si="10"/>
        <v>-9070.9392999999964</v>
      </c>
      <c r="AB17" s="10">
        <f t="shared" si="10"/>
        <v>-11343.279899999996</v>
      </c>
      <c r="AC17" s="10">
        <f t="shared" si="11"/>
        <v>2272.3405999999995</v>
      </c>
      <c r="AD17" s="10">
        <f t="shared" si="12"/>
        <v>-20.032482844754632</v>
      </c>
    </row>
    <row r="18" spans="1:40" ht="15" customHeight="1" x14ac:dyDescent="0.2">
      <c r="A18" s="9" t="s">
        <v>17</v>
      </c>
      <c r="B18" s="10">
        <f>[2]FP!U12</f>
        <v>0</v>
      </c>
      <c r="C18" s="10">
        <f>[3]REG12!B18</f>
        <v>0</v>
      </c>
      <c r="D18" s="10">
        <f t="shared" si="0"/>
        <v>0</v>
      </c>
      <c r="E18" s="10"/>
      <c r="F18" s="10"/>
      <c r="G18" s="10">
        <f>[4]FP!U12</f>
        <v>0</v>
      </c>
      <c r="H18" s="10">
        <f>[3]REG12!G18</f>
        <v>0</v>
      </c>
      <c r="I18" s="10">
        <f t="shared" si="2"/>
        <v>0</v>
      </c>
      <c r="J18" s="10"/>
      <c r="K18" s="10"/>
      <c r="L18" s="10">
        <f>[5]FP!U12</f>
        <v>0</v>
      </c>
      <c r="M18" s="10">
        <f>[3]REG12!L18</f>
        <v>0</v>
      </c>
      <c r="N18" s="10">
        <f t="shared" si="4"/>
        <v>0</v>
      </c>
      <c r="O18" s="10"/>
      <c r="P18" s="10"/>
      <c r="Q18" s="10">
        <f>[6]FP!U12</f>
        <v>0</v>
      </c>
      <c r="R18" s="10">
        <f>[3]REG12!Q18</f>
        <v>0</v>
      </c>
      <c r="S18" s="10">
        <f t="shared" si="6"/>
        <v>0</v>
      </c>
      <c r="T18" s="10"/>
      <c r="U18" s="10"/>
      <c r="V18" s="10">
        <f>[7]FP!U12</f>
        <v>0</v>
      </c>
      <c r="W18" s="10">
        <f>[3]REG12!V18</f>
        <v>0</v>
      </c>
      <c r="X18" s="10">
        <f>V18-W18</f>
        <v>0</v>
      </c>
      <c r="Y18" s="10"/>
      <c r="Z18" s="10"/>
      <c r="AA18" s="10">
        <f>+B18+L18+Q18+V18+G18</f>
        <v>0</v>
      </c>
      <c r="AB18" s="10">
        <f>+C18+M18+R18+W18+H18</f>
        <v>0</v>
      </c>
      <c r="AC18" s="10">
        <f>AA18-AB18</f>
        <v>0</v>
      </c>
      <c r="AD18" s="10"/>
    </row>
    <row r="19" spans="1:40" ht="15" customHeight="1" x14ac:dyDescent="0.2">
      <c r="A19" s="9" t="s">
        <v>18</v>
      </c>
      <c r="B19" s="10">
        <f>B13-B14-B15-B16-B17-B18</f>
        <v>2009683.78562</v>
      </c>
      <c r="C19" s="10">
        <f>[3]REG12!B19</f>
        <v>2082154.6153599997</v>
      </c>
      <c r="D19" s="10">
        <f t="shared" si="0"/>
        <v>-72470.829739999725</v>
      </c>
      <c r="E19" s="10">
        <f t="shared" si="1"/>
        <v>-3.4805690799993587</v>
      </c>
      <c r="F19" s="10"/>
      <c r="G19" s="10">
        <f>G13-G14-G15-G16-G17-G18</f>
        <v>815793.92407000007</v>
      </c>
      <c r="H19" s="10">
        <f>[3]REG12!G19</f>
        <v>968711.15366999991</v>
      </c>
      <c r="I19" s="10">
        <f t="shared" si="2"/>
        <v>-152917.22959999985</v>
      </c>
      <c r="J19" s="10">
        <f t="shared" si="3"/>
        <v>-15.785637340983117</v>
      </c>
      <c r="K19" s="10"/>
      <c r="L19" s="10">
        <f>L13-L14-L15-L16-L17-L18</f>
        <v>2331761.5289000003</v>
      </c>
      <c r="M19" s="10">
        <f>[3]REG12!L19</f>
        <v>2709860.46404</v>
      </c>
      <c r="N19" s="10">
        <f t="shared" si="4"/>
        <v>-378098.93513999972</v>
      </c>
      <c r="O19" s="10">
        <f t="shared" si="5"/>
        <v>-13.952708641547924</v>
      </c>
      <c r="P19" s="10"/>
      <c r="Q19" s="10">
        <f>Q13-Q14-Q15-Q16-Q17-Q18</f>
        <v>6975233.6897700001</v>
      </c>
      <c r="R19" s="10">
        <f>[3]REG12!Q19</f>
        <v>6587777.8944800012</v>
      </c>
      <c r="S19" s="10">
        <f t="shared" si="6"/>
        <v>387455.79528999887</v>
      </c>
      <c r="T19" s="10">
        <f t="shared" si="7"/>
        <v>5.8814337929433522</v>
      </c>
      <c r="U19" s="10"/>
      <c r="V19" s="10">
        <f>V13-V14-V15-V16-V17-V18</f>
        <v>1688618.1924699999</v>
      </c>
      <c r="W19" s="10">
        <f>[3]REG12!V19</f>
        <v>1755137.4252800001</v>
      </c>
      <c r="X19" s="10">
        <f t="shared" si="8"/>
        <v>-66519.232810000191</v>
      </c>
      <c r="Y19" s="10">
        <f t="shared" si="9"/>
        <v>-3.7899729019446022</v>
      </c>
      <c r="Z19" s="10"/>
      <c r="AA19" s="10">
        <f>AA13-AA14-AA15-AA16-AA17-AA18</f>
        <v>13821091.120830001</v>
      </c>
      <c r="AB19" s="10">
        <f>AB13-AB14-AB15-AB16-AB17-AB18</f>
        <v>14103641.552829998</v>
      </c>
      <c r="AC19" s="10">
        <f t="shared" si="11"/>
        <v>-282550.4319999963</v>
      </c>
      <c r="AD19" s="10">
        <f t="shared" si="12"/>
        <v>-2.0033863661495319</v>
      </c>
    </row>
    <row r="20" spans="1:40" ht="15" customHeight="1" x14ac:dyDescent="0.2">
      <c r="A20" s="9" t="s">
        <v>19</v>
      </c>
      <c r="B20" s="10">
        <f>[2]FP!$U$14</f>
        <v>98067.1973</v>
      </c>
      <c r="C20" s="10">
        <f>[3]REG12!B20</f>
        <v>103243.59821000001</v>
      </c>
      <c r="D20" s="10">
        <f t="shared" si="0"/>
        <v>-5176.4009100000112</v>
      </c>
      <c r="E20" s="10">
        <f t="shared" si="1"/>
        <v>-5.0137742191734587</v>
      </c>
      <c r="F20" s="10"/>
      <c r="G20" s="10">
        <f>[4]FP!$U$14</f>
        <v>38448.275250000006</v>
      </c>
      <c r="H20" s="10">
        <f>[3]REG12!G20</f>
        <v>39543.609579999997</v>
      </c>
      <c r="I20" s="10">
        <f t="shared" si="2"/>
        <v>-1095.3343299999906</v>
      </c>
      <c r="J20" s="10">
        <f t="shared" si="3"/>
        <v>-2.7699401790421749</v>
      </c>
      <c r="K20" s="10"/>
      <c r="L20" s="10">
        <f>[5]FP!$U$14</f>
        <v>63575.776110000006</v>
      </c>
      <c r="M20" s="10">
        <f>[3]REG12!L20</f>
        <v>63352.480029999992</v>
      </c>
      <c r="N20" s="10">
        <f t="shared" si="4"/>
        <v>223.29608000001463</v>
      </c>
      <c r="O20" s="10">
        <f t="shared" si="5"/>
        <v>0.35246620162979381</v>
      </c>
      <c r="P20" s="10"/>
      <c r="Q20" s="10">
        <f>[6]FP!$U$14</f>
        <v>49227.559680000006</v>
      </c>
      <c r="R20" s="10">
        <f>[3]REG12!Q20</f>
        <v>28808.757999999998</v>
      </c>
      <c r="S20" s="10">
        <f t="shared" si="6"/>
        <v>20418.801680000008</v>
      </c>
      <c r="T20" s="10">
        <f t="shared" si="7"/>
        <v>70.877063426337259</v>
      </c>
      <c r="U20" s="10"/>
      <c r="V20" s="10">
        <f>[7]FP!$U$14</f>
        <v>85598.662229999987</v>
      </c>
      <c r="W20" s="10">
        <f>[3]REG12!V20</f>
        <v>84056.689610000001</v>
      </c>
      <c r="X20" s="10">
        <f t="shared" si="8"/>
        <v>1541.9726199999859</v>
      </c>
      <c r="Y20" s="10">
        <f t="shared" si="9"/>
        <v>1.8344436679035496</v>
      </c>
      <c r="Z20" s="10"/>
      <c r="AA20" s="10">
        <f t="shared" si="10"/>
        <v>334917.47057</v>
      </c>
      <c r="AB20" s="10">
        <f t="shared" si="10"/>
        <v>319005.13542999997</v>
      </c>
      <c r="AC20" s="10">
        <f t="shared" si="11"/>
        <v>15912.335140000039</v>
      </c>
      <c r="AD20" s="10">
        <f t="shared" si="12"/>
        <v>4.988112532593294</v>
      </c>
      <c r="AE20" s="11"/>
      <c r="AF20" s="11"/>
      <c r="AG20" s="11"/>
      <c r="AH20" s="11"/>
      <c r="AI20" s="11"/>
      <c r="AJ20" s="11"/>
      <c r="AK20" s="11"/>
      <c r="AL20" s="11"/>
    </row>
    <row r="21" spans="1:40" ht="15" customHeight="1" x14ac:dyDescent="0.2">
      <c r="A21" s="9" t="s">
        <v>20</v>
      </c>
      <c r="B21" s="10">
        <f>B19+B20</f>
        <v>2107750.9829199999</v>
      </c>
      <c r="C21" s="10">
        <f>[3]REG12!B21</f>
        <v>2185398.2135699997</v>
      </c>
      <c r="D21" s="10">
        <f t="shared" si="0"/>
        <v>-77647.230649999809</v>
      </c>
      <c r="E21" s="10">
        <f t="shared" si="1"/>
        <v>-3.5530014698400283</v>
      </c>
      <c r="F21" s="10"/>
      <c r="G21" s="10">
        <f>G19+G20</f>
        <v>854242.19932000013</v>
      </c>
      <c r="H21" s="10">
        <f>[3]REG12!G21</f>
        <v>1008254.76325</v>
      </c>
      <c r="I21" s="10">
        <f t="shared" si="2"/>
        <v>-154012.56392999983</v>
      </c>
      <c r="J21" s="10">
        <f t="shared" si="3"/>
        <v>-15.275163534418326</v>
      </c>
      <c r="K21" s="10"/>
      <c r="L21" s="10">
        <f>L19+L20</f>
        <v>2395337.3050100002</v>
      </c>
      <c r="M21" s="10">
        <f>[3]REG12!L21</f>
        <v>2773212.9440700002</v>
      </c>
      <c r="N21" s="10">
        <f t="shared" si="4"/>
        <v>-377875.63905999996</v>
      </c>
      <c r="O21" s="10">
        <f t="shared" si="5"/>
        <v>-13.625915019184397</v>
      </c>
      <c r="P21" s="10"/>
      <c r="Q21" s="10">
        <f>Q19+Q20</f>
        <v>7024461.24945</v>
      </c>
      <c r="R21" s="10">
        <f>[3]REG12!Q21</f>
        <v>6616586.6524800016</v>
      </c>
      <c r="S21" s="10">
        <f t="shared" si="6"/>
        <v>407874.59696999844</v>
      </c>
      <c r="T21" s="10">
        <f t="shared" si="7"/>
        <v>6.1644261368075721</v>
      </c>
      <c r="U21" s="10"/>
      <c r="V21" s="10">
        <f>V19+V20</f>
        <v>1774216.8546999998</v>
      </c>
      <c r="W21" s="10">
        <f>[3]REG12!V21</f>
        <v>1839194.1148900001</v>
      </c>
      <c r="X21" s="10">
        <f t="shared" si="8"/>
        <v>-64977.260190000292</v>
      </c>
      <c r="Y21" s="10">
        <f t="shared" si="9"/>
        <v>-3.5329201884645278</v>
      </c>
      <c r="Z21" s="10"/>
      <c r="AA21" s="10">
        <f>AA19+AA20</f>
        <v>14156008.591400001</v>
      </c>
      <c r="AB21" s="10">
        <f>AB19+AB20</f>
        <v>14422646.688259998</v>
      </c>
      <c r="AC21" s="10">
        <f t="shared" si="11"/>
        <v>-266638.09685999714</v>
      </c>
      <c r="AD21" s="10">
        <f t="shared" si="12"/>
        <v>-1.8487459522740712</v>
      </c>
      <c r="AE21" s="11"/>
      <c r="AF21" s="11"/>
      <c r="AG21" s="11"/>
      <c r="AH21" s="11"/>
      <c r="AI21" s="11"/>
      <c r="AJ21" s="11"/>
      <c r="AK21" s="11"/>
      <c r="AL21" s="11"/>
    </row>
    <row r="22" spans="1:40" ht="15" customHeight="1" x14ac:dyDescent="0.2">
      <c r="A22" s="9" t="s">
        <v>21</v>
      </c>
      <c r="B22" s="10">
        <f>[2]FP!$U$16</f>
        <v>1800370.9337900002</v>
      </c>
      <c r="C22" s="10">
        <f>[3]REG12!B22</f>
        <v>1887481.5540499999</v>
      </c>
      <c r="D22" s="10">
        <f t="shared" si="0"/>
        <v>-87110.620259999763</v>
      </c>
      <c r="E22" s="10">
        <f t="shared" si="1"/>
        <v>-4.6151773018965443</v>
      </c>
      <c r="F22" s="10"/>
      <c r="G22" s="10">
        <f>[4]FP!$U$16</f>
        <v>756369.46613000007</v>
      </c>
      <c r="H22" s="10">
        <f>[3]REG12!G22</f>
        <v>916774.30652999994</v>
      </c>
      <c r="I22" s="10">
        <f t="shared" si="2"/>
        <v>-160404.84039999987</v>
      </c>
      <c r="J22" s="10">
        <f t="shared" si="3"/>
        <v>-17.496655311723757</v>
      </c>
      <c r="K22" s="10"/>
      <c r="L22" s="10">
        <f>[5]FP!$U$16</f>
        <v>2109381.18408</v>
      </c>
      <c r="M22" s="10">
        <f>[3]REG12!L22</f>
        <v>2497942.0848699999</v>
      </c>
      <c r="N22" s="10">
        <f t="shared" si="4"/>
        <v>-388560.90078999987</v>
      </c>
      <c r="O22" s="10">
        <f t="shared" si="5"/>
        <v>-15.555240577574148</v>
      </c>
      <c r="P22" s="10"/>
      <c r="Q22" s="10">
        <f>[6]FP!$U$16</f>
        <v>6592803.1029899996</v>
      </c>
      <c r="R22" s="10">
        <f>[3]REG12!Q22</f>
        <v>6131325.6129700001</v>
      </c>
      <c r="S22" s="10">
        <f t="shared" si="6"/>
        <v>461477.49001999944</v>
      </c>
      <c r="T22" s="10">
        <f t="shared" si="7"/>
        <v>7.5265532961388564</v>
      </c>
      <c r="U22" s="10"/>
      <c r="V22" s="10">
        <f>[7]FP!$U$16</f>
        <v>1493919.8447700001</v>
      </c>
      <c r="W22" s="10">
        <f>[3]REG12!V22</f>
        <v>1484209.4088599999</v>
      </c>
      <c r="X22" s="10">
        <f t="shared" si="8"/>
        <v>9710.435910000233</v>
      </c>
      <c r="Y22" s="10">
        <f t="shared" si="9"/>
        <v>0.65424972056056974</v>
      </c>
      <c r="Z22" s="10"/>
      <c r="AA22" s="10">
        <f t="shared" si="10"/>
        <v>12752844.53176</v>
      </c>
      <c r="AB22" s="10">
        <f t="shared" si="10"/>
        <v>12917732.96728</v>
      </c>
      <c r="AC22" s="10">
        <f t="shared" si="11"/>
        <v>-164888.43552000076</v>
      </c>
      <c r="AD22" s="10">
        <f t="shared" si="12"/>
        <v>-1.2764502559207198</v>
      </c>
      <c r="AE22" s="11"/>
      <c r="AF22" s="11"/>
      <c r="AG22" s="11"/>
      <c r="AH22" s="11"/>
      <c r="AI22" s="11"/>
      <c r="AJ22" s="11"/>
      <c r="AK22" s="11"/>
      <c r="AL22" s="11"/>
    </row>
    <row r="23" spans="1:40" ht="15" customHeight="1" x14ac:dyDescent="0.2">
      <c r="A23" s="9" t="s">
        <v>22</v>
      </c>
      <c r="B23" s="10">
        <f>ROUND((B22/B21*100),0)</f>
        <v>85</v>
      </c>
      <c r="C23" s="10">
        <f>[3]REG12!B23</f>
        <v>86</v>
      </c>
      <c r="D23" s="12" t="s">
        <v>23</v>
      </c>
      <c r="E23" s="10">
        <f>B23-C23</f>
        <v>-1</v>
      </c>
      <c r="F23" s="10"/>
      <c r="G23" s="10">
        <f>ROUND((G22/G21*100),0)</f>
        <v>89</v>
      </c>
      <c r="H23" s="10">
        <f>[3]REG12!G23</f>
        <v>91</v>
      </c>
      <c r="I23" s="12" t="s">
        <v>23</v>
      </c>
      <c r="J23" s="10">
        <f>G23-H23</f>
        <v>-2</v>
      </c>
      <c r="K23" s="10"/>
      <c r="L23" s="10">
        <f>ROUND((L22/L21*100),0)</f>
        <v>88</v>
      </c>
      <c r="M23" s="10">
        <f>[3]REG12!L23</f>
        <v>90</v>
      </c>
      <c r="N23" s="12" t="s">
        <v>23</v>
      </c>
      <c r="O23" s="10">
        <f>L23-M23</f>
        <v>-2</v>
      </c>
      <c r="P23" s="10"/>
      <c r="Q23" s="10">
        <f>ROUND((Q22/Q21*100),0)</f>
        <v>94</v>
      </c>
      <c r="R23" s="10">
        <f>[3]REG12!Q23</f>
        <v>93</v>
      </c>
      <c r="S23" s="12" t="s">
        <v>23</v>
      </c>
      <c r="T23" s="10">
        <f>Q23-R23</f>
        <v>1</v>
      </c>
      <c r="U23" s="10"/>
      <c r="V23" s="10">
        <f>ROUND((V22/V21*100),0)</f>
        <v>84</v>
      </c>
      <c r="W23" s="10">
        <f>[3]REG12!V23</f>
        <v>81</v>
      </c>
      <c r="X23" s="12" t="s">
        <v>23</v>
      </c>
      <c r="Y23" s="10">
        <f>V23-W23</f>
        <v>3</v>
      </c>
      <c r="Z23" s="10"/>
      <c r="AA23" s="10">
        <f>ROUND((AA22/AA21*100),0)</f>
        <v>90</v>
      </c>
      <c r="AB23" s="10">
        <f>ROUND((AB22/AB21*100),0)</f>
        <v>90</v>
      </c>
      <c r="AC23" s="12" t="s">
        <v>23</v>
      </c>
      <c r="AD23" s="10">
        <f>AA23-AB23</f>
        <v>0</v>
      </c>
      <c r="AE23" s="11"/>
      <c r="AF23" s="11"/>
      <c r="AG23" s="11"/>
      <c r="AH23" s="11"/>
      <c r="AI23" s="11"/>
      <c r="AJ23" s="11"/>
      <c r="AK23" s="11"/>
      <c r="AL23" s="11"/>
    </row>
    <row r="24" spans="1:40" ht="15" customHeight="1" x14ac:dyDescent="0.2">
      <c r="A24" s="9" t="s">
        <v>24</v>
      </c>
      <c r="B24" s="10">
        <f>[2]FP!$U$18</f>
        <v>279295.09666000004</v>
      </c>
      <c r="C24" s="10">
        <f>[3]REG12!B24</f>
        <v>265119.79590000003</v>
      </c>
      <c r="D24" s="10">
        <f>B24-C24</f>
        <v>14175.300760000013</v>
      </c>
      <c r="E24" s="10">
        <f>D24/C24*100</f>
        <v>5.3467530449317202</v>
      </c>
      <c r="F24" s="10"/>
      <c r="G24" s="10">
        <f>[4]FP!$U$18</f>
        <v>97527.426869999996</v>
      </c>
      <c r="H24" s="10">
        <f>[3]REG12!G24</f>
        <v>99026.747810000001</v>
      </c>
      <c r="I24" s="10">
        <f>G24-H24</f>
        <v>-1499.3209400000051</v>
      </c>
      <c r="J24" s="10">
        <f>I24/H24*100</f>
        <v>-1.5140565283197147</v>
      </c>
      <c r="K24" s="10"/>
      <c r="L24" s="10">
        <f>[5]FP!$U$18</f>
        <v>226847.71119999999</v>
      </c>
      <c r="M24" s="10">
        <f>[3]REG12!L24</f>
        <v>193161.16873</v>
      </c>
      <c r="N24" s="10">
        <f>L24-M24</f>
        <v>33686.542469999986</v>
      </c>
      <c r="O24" s="10">
        <f>N24/M24*100</f>
        <v>17.439603773099403</v>
      </c>
      <c r="P24" s="10"/>
      <c r="Q24" s="10">
        <f>[6]FP!$U$18</f>
        <v>397758.75507000001</v>
      </c>
      <c r="R24" s="10">
        <f>[3]REG12!Q24</f>
        <v>345403.38823000004</v>
      </c>
      <c r="S24" s="10">
        <f>Q24-R24</f>
        <v>52355.366839999973</v>
      </c>
      <c r="T24" s="10">
        <f>S24/R24*100</f>
        <v>15.157745587931856</v>
      </c>
      <c r="U24" s="10"/>
      <c r="V24" s="10">
        <f>[7]FP!$U$18</f>
        <v>238879.23103999998</v>
      </c>
      <c r="W24" s="10">
        <f>[3]REG12!V24</f>
        <v>206453.51366999999</v>
      </c>
      <c r="X24" s="10">
        <f>V24-W24</f>
        <v>32425.717369999998</v>
      </c>
      <c r="Y24" s="10">
        <f>X24/W24*100</f>
        <v>15.706062247906328</v>
      </c>
      <c r="Z24" s="10"/>
      <c r="AA24" s="10">
        <f t="shared" si="10"/>
        <v>1240308.2208400001</v>
      </c>
      <c r="AB24" s="10">
        <f t="shared" si="10"/>
        <v>1109164.6143400001</v>
      </c>
      <c r="AC24" s="10">
        <f>AA24-AB24</f>
        <v>131143.60649999999</v>
      </c>
      <c r="AD24" s="10">
        <f>AC24/AB24*100</f>
        <v>11.823637790503801</v>
      </c>
      <c r="AE24" s="11"/>
      <c r="AF24" s="11"/>
      <c r="AG24" s="11"/>
      <c r="AH24" s="11"/>
      <c r="AI24" s="11"/>
      <c r="AJ24" s="11"/>
      <c r="AK24" s="11"/>
      <c r="AL24" s="11"/>
    </row>
    <row r="25" spans="1:40" ht="15" customHeight="1" x14ac:dyDescent="0.2">
      <c r="A25" s="9" t="s">
        <v>22</v>
      </c>
      <c r="B25" s="10">
        <f>ROUND((B24/B21*100),0)</f>
        <v>13</v>
      </c>
      <c r="C25" s="10">
        <f>[3]REG12!B25</f>
        <v>12</v>
      </c>
      <c r="D25" s="10"/>
      <c r="E25" s="10">
        <f>B25-C25</f>
        <v>1</v>
      </c>
      <c r="F25" s="10"/>
      <c r="G25" s="10">
        <f>ROUND((G24/G21*100),0)</f>
        <v>11</v>
      </c>
      <c r="H25" s="10">
        <f>[3]REG12!G25</f>
        <v>10</v>
      </c>
      <c r="I25" s="10"/>
      <c r="J25" s="10">
        <f>G25-H25</f>
        <v>1</v>
      </c>
      <c r="K25" s="10"/>
      <c r="L25" s="10">
        <f>ROUND((L24/L21*100),0)</f>
        <v>9</v>
      </c>
      <c r="M25" s="10">
        <f>[3]REG12!L25</f>
        <v>7</v>
      </c>
      <c r="N25" s="10"/>
      <c r="O25" s="10">
        <f>L25-M25</f>
        <v>2</v>
      </c>
      <c r="P25" s="10"/>
      <c r="Q25" s="10">
        <f>ROUND((Q24/Q21*100),0)</f>
        <v>6</v>
      </c>
      <c r="R25" s="10">
        <f>[3]REG12!Q25</f>
        <v>5</v>
      </c>
      <c r="S25" s="10"/>
      <c r="T25" s="10">
        <f>Q25-R25</f>
        <v>1</v>
      </c>
      <c r="U25" s="10"/>
      <c r="V25" s="10">
        <f>ROUND((V24/V21*100),0)</f>
        <v>13</v>
      </c>
      <c r="W25" s="10">
        <f>[3]REG12!V25</f>
        <v>11</v>
      </c>
      <c r="X25" s="10"/>
      <c r="Y25" s="10">
        <f>V25-W25</f>
        <v>2</v>
      </c>
      <c r="Z25" s="10"/>
      <c r="AA25" s="10">
        <f>ROUND((AA24/AA21*100),0)</f>
        <v>9</v>
      </c>
      <c r="AB25" s="10">
        <f>ROUND((AB24/AB21*100),0)</f>
        <v>8</v>
      </c>
      <c r="AC25" s="10"/>
      <c r="AD25" s="10">
        <f>AA25-AB25</f>
        <v>1</v>
      </c>
      <c r="AE25" s="13"/>
      <c r="AF25" s="13"/>
      <c r="AG25" s="11"/>
      <c r="AH25" s="11"/>
      <c r="AI25" s="11"/>
      <c r="AJ25" s="11"/>
      <c r="AK25" s="11"/>
      <c r="AL25" s="11"/>
    </row>
    <row r="26" spans="1:40" ht="15" customHeight="1" x14ac:dyDescent="0.2">
      <c r="A26" s="9" t="s">
        <v>25</v>
      </c>
      <c r="B26" s="10">
        <f>B21-B22-B24</f>
        <v>28084.952469999669</v>
      </c>
      <c r="C26" s="10">
        <f>[3]REG12!B26</f>
        <v>32796.863619999727</v>
      </c>
      <c r="D26" s="10">
        <f>B26-C26</f>
        <v>-4711.9111500000581</v>
      </c>
      <c r="E26" s="10">
        <f>D26/C26*100</f>
        <v>-14.366956562049751</v>
      </c>
      <c r="F26" s="10"/>
      <c r="G26" s="10">
        <f>G21-G22-G24</f>
        <v>345.30632000006153</v>
      </c>
      <c r="H26" s="10">
        <f>[3]REG12!G26</f>
        <v>-7546.2910899999843</v>
      </c>
      <c r="I26" s="10">
        <f>G26-H26</f>
        <v>7891.5974100000458</v>
      </c>
      <c r="J26" s="10">
        <f>I26/H26*100</f>
        <v>-104.5758415078587</v>
      </c>
      <c r="K26" s="10"/>
      <c r="L26" s="10">
        <f>L21-L22-L24</f>
        <v>59108.409730000218</v>
      </c>
      <c r="M26" s="10">
        <f>[3]REG12!L26</f>
        <v>82109.690470000292</v>
      </c>
      <c r="N26" s="10">
        <f>L26-M26</f>
        <v>-23001.280740000075</v>
      </c>
      <c r="O26" s="10">
        <f>N26/M26*100</f>
        <v>-28.012869867538782</v>
      </c>
      <c r="P26" s="10"/>
      <c r="Q26" s="10">
        <f>Q21-Q22-Q24</f>
        <v>33899.391390000412</v>
      </c>
      <c r="R26" s="10">
        <f>[3]REG12!Q26</f>
        <v>139857.65128000139</v>
      </c>
      <c r="S26" s="10">
        <f>Q26-R26</f>
        <v>-105958.25989000098</v>
      </c>
      <c r="T26" s="10">
        <f>S26/R26*100</f>
        <v>-75.761503872153341</v>
      </c>
      <c r="U26" s="10"/>
      <c r="V26" s="10">
        <f>V21-V22-V24</f>
        <v>41417.778889999725</v>
      </c>
      <c r="W26" s="10">
        <f>[3]REG12!V26</f>
        <v>148531.19236000025</v>
      </c>
      <c r="X26" s="10">
        <f>V26-W26</f>
        <v>-107113.41347000052</v>
      </c>
      <c r="Y26" s="10">
        <f>X26/W26*100</f>
        <v>-72.115097016380233</v>
      </c>
      <c r="Z26" s="10"/>
      <c r="AA26" s="10">
        <f>AA21-AA22-AA24</f>
        <v>162855.83880000142</v>
      </c>
      <c r="AB26" s="10">
        <f>AB21-AB22-AB24</f>
        <v>395749.1066399978</v>
      </c>
      <c r="AC26" s="10">
        <f>AA26-AB26</f>
        <v>-232893.26783999638</v>
      </c>
      <c r="AD26" s="10">
        <f>AC26/AB26*100</f>
        <v>-58.848716000224108</v>
      </c>
      <c r="AE26" s="11"/>
      <c r="AF26" s="11"/>
      <c r="AG26" s="11"/>
      <c r="AH26" s="11"/>
      <c r="AI26" s="11"/>
      <c r="AJ26" s="11"/>
      <c r="AK26" s="11"/>
      <c r="AL26" s="11"/>
    </row>
    <row r="27" spans="1:40" ht="15" customHeight="1" x14ac:dyDescent="0.2">
      <c r="A27" s="9" t="s">
        <v>26</v>
      </c>
      <c r="B27" s="10">
        <f>[2]FP!U21</f>
        <v>117138.12546000001</v>
      </c>
      <c r="C27" s="10">
        <f>[3]REG12!B27</f>
        <v>112579.96638</v>
      </c>
      <c r="D27" s="10">
        <f>B27-C27</f>
        <v>4558.1590800000122</v>
      </c>
      <c r="E27" s="10">
        <f>D27/C27*100</f>
        <v>4.0488190097823447</v>
      </c>
      <c r="F27" s="10"/>
      <c r="G27" s="10">
        <f>[4]FP!U21</f>
        <v>13326.353899999998</v>
      </c>
      <c r="H27" s="10">
        <f>[3]REG12!G27</f>
        <v>13326.353899999998</v>
      </c>
      <c r="I27" s="10">
        <f>G27-H27</f>
        <v>0</v>
      </c>
      <c r="J27" s="10">
        <f>I27/H27*100</f>
        <v>0</v>
      </c>
      <c r="K27" s="10"/>
      <c r="L27" s="10">
        <f>[5]FP!U21</f>
        <v>67654.479149999999</v>
      </c>
      <c r="M27" s="10">
        <f>[3]REG12!L27</f>
        <v>72803.460060000012</v>
      </c>
      <c r="N27" s="10">
        <f>L27-M27</f>
        <v>-5148.980910000013</v>
      </c>
      <c r="O27" s="10">
        <f>N27/M27*100</f>
        <v>-7.0724398342558832</v>
      </c>
      <c r="P27" s="10"/>
      <c r="Q27" s="10">
        <f>[6]FP!U21</f>
        <v>122784.80225000001</v>
      </c>
      <c r="R27" s="10">
        <f>[3]REG12!Q27</f>
        <v>123899.15535000002</v>
      </c>
      <c r="S27" s="10">
        <f>Q27-R27</f>
        <v>-1114.3531000000075</v>
      </c>
      <c r="T27" s="10">
        <f>S27/R27*100</f>
        <v>-0.89940330654563039</v>
      </c>
      <c r="U27" s="10"/>
      <c r="V27" s="10">
        <f>[7]FP!U21</f>
        <v>99475.337479999987</v>
      </c>
      <c r="W27" s="10">
        <f>[3]REG12!V27</f>
        <v>85641.978460000013</v>
      </c>
      <c r="X27" s="10">
        <f>V27-W27</f>
        <v>13833.359019999974</v>
      </c>
      <c r="Y27" s="10">
        <f>X27/W27*100</f>
        <v>16.152544895329562</v>
      </c>
      <c r="Z27" s="10"/>
      <c r="AA27" s="10">
        <f>+B27+L27+Q27+V27+G27</f>
        <v>420379.09823999996</v>
      </c>
      <c r="AB27" s="10">
        <f>+C27+M27+R27+W27+H27</f>
        <v>408250.91415000003</v>
      </c>
      <c r="AC27" s="10">
        <f>AA27-AB27</f>
        <v>12128.184089999937</v>
      </c>
      <c r="AD27" s="10">
        <f>AC27/AB27*100</f>
        <v>2.9707671604977191</v>
      </c>
      <c r="AE27" s="11"/>
      <c r="AF27" s="11"/>
      <c r="AG27" s="11"/>
      <c r="AH27" s="11"/>
      <c r="AI27" s="11"/>
      <c r="AJ27" s="11"/>
      <c r="AK27" s="11"/>
      <c r="AL27" s="11"/>
    </row>
    <row r="28" spans="1:40" ht="15" customHeight="1" x14ac:dyDescent="0.2">
      <c r="A28" s="9" t="s">
        <v>27</v>
      </c>
      <c r="B28" s="10">
        <f>[2]FP!U22</f>
        <v>10284.674780000001</v>
      </c>
      <c r="C28" s="10">
        <f>[3]REG12!B28</f>
        <v>10124.333419999999</v>
      </c>
      <c r="D28" s="10">
        <f>B28-C28</f>
        <v>160.34136000000217</v>
      </c>
      <c r="E28" s="10">
        <f>D28/C28*100</f>
        <v>1.5837226348478179</v>
      </c>
      <c r="F28" s="10"/>
      <c r="G28" s="10">
        <f>[4]FP!U22</f>
        <v>8050.0304699999997</v>
      </c>
      <c r="H28" s="10">
        <f>[3]REG12!G28</f>
        <v>7533.6610300000002</v>
      </c>
      <c r="I28" s="10">
        <f>G28-H28</f>
        <v>516.36943999999949</v>
      </c>
      <c r="J28" s="10">
        <f>I28/H28*100</f>
        <v>6.8541634398435285</v>
      </c>
      <c r="K28" s="10"/>
      <c r="L28" s="10">
        <f>[5]FP!U22</f>
        <v>24025.77548</v>
      </c>
      <c r="M28" s="10">
        <f>[3]REG12!L28</f>
        <v>16631.456130000002</v>
      </c>
      <c r="N28" s="10">
        <f>L28-M28</f>
        <v>7394.3193499999979</v>
      </c>
      <c r="O28" s="10">
        <f>N28/M28*100</f>
        <v>44.459843396766949</v>
      </c>
      <c r="P28" s="10"/>
      <c r="Q28" s="10">
        <f>[6]FP!U22</f>
        <v>21034.732490000002</v>
      </c>
      <c r="R28" s="10">
        <f>[3]REG12!Q28</f>
        <v>19020.78873</v>
      </c>
      <c r="S28" s="10">
        <f>Q28-R28</f>
        <v>2013.9437600000019</v>
      </c>
      <c r="T28" s="10">
        <f>S28/R28*100</f>
        <v>10.588119076384915</v>
      </c>
      <c r="U28" s="10"/>
      <c r="V28" s="10">
        <f>[7]FP!U22</f>
        <v>22778.560320000004</v>
      </c>
      <c r="W28" s="10">
        <f>[3]REG12!V28</f>
        <v>19283.108919999999</v>
      </c>
      <c r="X28" s="10">
        <f>V28-W28</f>
        <v>3495.4514000000054</v>
      </c>
      <c r="Y28" s="10">
        <f>X28/W28*100</f>
        <v>18.127011647870759</v>
      </c>
      <c r="Z28" s="10"/>
      <c r="AA28" s="10">
        <f>+B28+L28+Q28+V28+G28</f>
        <v>86173.773539999995</v>
      </c>
      <c r="AB28" s="10">
        <f>+C28+M28+R28+W28+H28</f>
        <v>72593.348230000003</v>
      </c>
      <c r="AC28" s="10">
        <f>AA28-AB28</f>
        <v>13580.425309999991</v>
      </c>
      <c r="AD28" s="10">
        <f>AC28/AB28*100</f>
        <v>18.707534011205354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15" customHeight="1" x14ac:dyDescent="0.2">
      <c r="A29" s="9" t="s">
        <v>28</v>
      </c>
      <c r="B29" s="10">
        <f>B26-B27-B28</f>
        <v>-99337.847770000342</v>
      </c>
      <c r="C29" s="10">
        <f>[3]REG12!B29</f>
        <v>-89907.436180000266</v>
      </c>
      <c r="D29" s="10">
        <f>B29-C29</f>
        <v>-9430.4115900000761</v>
      </c>
      <c r="E29" s="10">
        <f>D29/C29*100</f>
        <v>10.489022922553154</v>
      </c>
      <c r="F29" s="10"/>
      <c r="G29" s="10">
        <f>G26-G27-G28</f>
        <v>-21031.078049999938</v>
      </c>
      <c r="H29" s="10">
        <f>[3]REG12!G29</f>
        <v>-28406.306019999982</v>
      </c>
      <c r="I29" s="10">
        <f>G29-H29</f>
        <v>7375.2279700000436</v>
      </c>
      <c r="J29" s="10">
        <f>I29/H29*100</f>
        <v>-25.96334759193039</v>
      </c>
      <c r="K29" s="10"/>
      <c r="L29" s="10">
        <f>L26-L27-L28</f>
        <v>-32571.844899999782</v>
      </c>
      <c r="M29" s="10">
        <f>[3]REG12!L29</f>
        <v>-7325.2257199997221</v>
      </c>
      <c r="N29" s="10">
        <f>L29-M29</f>
        <v>-25246.61918000006</v>
      </c>
      <c r="O29" s="10">
        <f>N29/M29*100</f>
        <v>344.65312257983254</v>
      </c>
      <c r="P29" s="10"/>
      <c r="Q29" s="10">
        <f>Q26-Q27-Q28</f>
        <v>-109920.14334999959</v>
      </c>
      <c r="R29" s="10">
        <f>[3]REG12!Q29</f>
        <v>-3062.2927999986277</v>
      </c>
      <c r="S29" s="10">
        <f>Q29-R29</f>
        <v>-106857.85055000096</v>
      </c>
      <c r="T29" s="10">
        <f>S29/R29*100</f>
        <v>3489.4720240353522</v>
      </c>
      <c r="U29" s="10"/>
      <c r="V29" s="10">
        <f>V26-V27-V28</f>
        <v>-80836.118910000267</v>
      </c>
      <c r="W29" s="10">
        <f>[3]REG12!V29</f>
        <v>43606.104980000237</v>
      </c>
      <c r="X29" s="10">
        <f>V29-W29</f>
        <v>-124442.2238900005</v>
      </c>
      <c r="Y29" s="10">
        <f>X29/W29*100</f>
        <v>-285.37798536942341</v>
      </c>
      <c r="Z29" s="10"/>
      <c r="AA29" s="10">
        <f>AA26-AA27-AA28</f>
        <v>-343697.0329799985</v>
      </c>
      <c r="AB29" s="10">
        <f>AB26-AB27-AB28</f>
        <v>-85095.155740002228</v>
      </c>
      <c r="AC29" s="10">
        <f>AA29-AB29</f>
        <v>-258601.87723999628</v>
      </c>
      <c r="AD29" s="10">
        <f>AC29/AB29*100</f>
        <v>303.8972959049778</v>
      </c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15" customHeight="1" x14ac:dyDescent="0.2">
      <c r="A30" s="9" t="s">
        <v>22</v>
      </c>
      <c r="B30" s="10">
        <f>ROUND((B29/B21*100),0)</f>
        <v>-5</v>
      </c>
      <c r="C30" s="10">
        <f>[3]REG12!B30</f>
        <v>-4</v>
      </c>
      <c r="D30" s="10"/>
      <c r="E30" s="10">
        <f>B30-C30</f>
        <v>-1</v>
      </c>
      <c r="F30" s="10"/>
      <c r="G30" s="10">
        <f>ROUND((G29/G21*100),0)</f>
        <v>-2</v>
      </c>
      <c r="H30" s="10">
        <f>[3]REG12!G30</f>
        <v>-3</v>
      </c>
      <c r="I30" s="10"/>
      <c r="J30" s="10">
        <f>G30-H30</f>
        <v>1</v>
      </c>
      <c r="K30" s="10"/>
      <c r="L30" s="10">
        <f>ROUND((L29/L21*100),0)</f>
        <v>-1</v>
      </c>
      <c r="M30" s="10">
        <f>[3]REG12!L30</f>
        <v>0</v>
      </c>
      <c r="N30" s="10"/>
      <c r="O30" s="10">
        <f>L30-M30</f>
        <v>-1</v>
      </c>
      <c r="P30" s="10"/>
      <c r="Q30" s="10">
        <f>ROUND((Q29/Q21*100),0)</f>
        <v>-2</v>
      </c>
      <c r="R30" s="10">
        <f>[3]REG12!Q30</f>
        <v>0</v>
      </c>
      <c r="S30" s="10"/>
      <c r="T30" s="10">
        <f>Q30-R30</f>
        <v>-2</v>
      </c>
      <c r="U30" s="10"/>
      <c r="V30" s="10">
        <f>ROUND((V29/V21*100),0)</f>
        <v>-5</v>
      </c>
      <c r="W30" s="10">
        <f>[3]REG12!V30</f>
        <v>2</v>
      </c>
      <c r="X30" s="10"/>
      <c r="Y30" s="10">
        <f>V30-W30</f>
        <v>-7</v>
      </c>
      <c r="Z30" s="10"/>
      <c r="AA30" s="10">
        <f>ROUND((AA29/AA21*100),0)</f>
        <v>-2</v>
      </c>
      <c r="AB30" s="10">
        <f>ROUND((AB29/AB21*100),0)</f>
        <v>-1</v>
      </c>
      <c r="AC30" s="10"/>
      <c r="AD30" s="10">
        <f>AA30-AB30</f>
        <v>-1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15" customHeight="1" x14ac:dyDescent="0.2">
      <c r="A31" s="9" t="s">
        <v>29</v>
      </c>
      <c r="B31" s="10">
        <f>[2]FP!$U$25</f>
        <v>3756.9557199999999</v>
      </c>
      <c r="C31" s="10">
        <f>[3]REG12!B31</f>
        <v>4005.9309799999996</v>
      </c>
      <c r="D31" s="10">
        <f>B31-C31</f>
        <v>-248.97525999999971</v>
      </c>
      <c r="E31" s="10">
        <f>D31/C31*100</f>
        <v>-6.2151659936986663</v>
      </c>
      <c r="F31" s="10"/>
      <c r="G31" s="10">
        <f>[4]FP!$U$25</f>
        <v>346.94708000000003</v>
      </c>
      <c r="H31" s="10">
        <f>[3]REG12!G31</f>
        <v>338.71864000000005</v>
      </c>
      <c r="I31" s="10">
        <f>G31-H31</f>
        <v>8.2284399999999778</v>
      </c>
      <c r="J31" s="10">
        <f>G31-H31</f>
        <v>8.2284399999999778</v>
      </c>
      <c r="K31" s="10"/>
      <c r="L31" s="10">
        <f>[5]FP!$U$25</f>
        <v>273.14769999999999</v>
      </c>
      <c r="M31" s="10">
        <f>[3]REG12!L31</f>
        <v>3865.4299600000004</v>
      </c>
      <c r="N31" s="10">
        <f>L31-M31</f>
        <v>-3592.2822600000004</v>
      </c>
      <c r="O31" s="10">
        <f>N31/M31*100</f>
        <v>-92.933575234150666</v>
      </c>
      <c r="P31" s="10"/>
      <c r="Q31" s="10">
        <f>[6]FP!$U$25</f>
        <v>0</v>
      </c>
      <c r="R31" s="10">
        <f>[3]REG12!Q31</f>
        <v>0</v>
      </c>
      <c r="S31" s="10">
        <f>Q31-R31</f>
        <v>0</v>
      </c>
      <c r="T31" s="10">
        <f>Q31-R31</f>
        <v>0</v>
      </c>
      <c r="U31" s="10"/>
      <c r="V31" s="10">
        <f>[7]FP!$U$25</f>
        <v>131.93204</v>
      </c>
      <c r="W31" s="10">
        <f>[3]REG12!V31</f>
        <v>0</v>
      </c>
      <c r="X31" s="10">
        <f>V31-W31</f>
        <v>131.93204</v>
      </c>
      <c r="Y31" s="10">
        <f>V31-W31</f>
        <v>131.93204</v>
      </c>
      <c r="Z31" s="10"/>
      <c r="AA31" s="10">
        <f>+B31+L31+Q31+V31+G31</f>
        <v>4508.98254</v>
      </c>
      <c r="AB31" s="10">
        <f>+C31+M31+R31+W31+H31</f>
        <v>8210.0795800000014</v>
      </c>
      <c r="AC31" s="10">
        <f>AA31-AB31</f>
        <v>-3701.0970400000015</v>
      </c>
      <c r="AD31" s="10">
        <f>AC31/AB31*100</f>
        <v>-45.07991675276795</v>
      </c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15" customHeight="1" x14ac:dyDescent="0.2">
      <c r="A32" s="9" t="s">
        <v>30</v>
      </c>
      <c r="B32" s="10">
        <f>B29-B31</f>
        <v>-103094.80349000034</v>
      </c>
      <c r="C32" s="10">
        <f>[3]REG12!B32</f>
        <v>-93913.367160000271</v>
      </c>
      <c r="D32" s="10">
        <f>B32-C32</f>
        <v>-9181.4363300000696</v>
      </c>
      <c r="E32" s="10">
        <f>D32/C32*100</f>
        <v>9.7764957296841999</v>
      </c>
      <c r="F32" s="10"/>
      <c r="G32" s="10">
        <f>G29-G31</f>
        <v>-21378.02512999994</v>
      </c>
      <c r="H32" s="10">
        <f>[3]REG12!G32</f>
        <v>-28745.024659999981</v>
      </c>
      <c r="I32" s="10">
        <f>G32-H32</f>
        <v>7366.999530000041</v>
      </c>
      <c r="J32" s="10">
        <f>I32/H32*100</f>
        <v>-25.628781387867651</v>
      </c>
      <c r="K32" s="10"/>
      <c r="L32" s="10">
        <f>L29-L31</f>
        <v>-32844.992599999779</v>
      </c>
      <c r="M32" s="10">
        <f>[3]REG12!L32</f>
        <v>-11190.655679999723</v>
      </c>
      <c r="N32" s="10">
        <f>L32-M32</f>
        <v>-21654.336920000056</v>
      </c>
      <c r="O32" s="10">
        <f>N32/M32*100</f>
        <v>193.50373686057858</v>
      </c>
      <c r="P32" s="10"/>
      <c r="Q32" s="10">
        <f>Q29-Q31</f>
        <v>-109920.14334999959</v>
      </c>
      <c r="R32" s="10">
        <f>[3]REG12!Q32</f>
        <v>-3062.2927999986277</v>
      </c>
      <c r="S32" s="10">
        <f>Q32-R32</f>
        <v>-106857.85055000096</v>
      </c>
      <c r="T32" s="10">
        <f>S32/R32*100</f>
        <v>3489.4720240353522</v>
      </c>
      <c r="U32" s="10"/>
      <c r="V32" s="10">
        <f>V29-V31</f>
        <v>-80968.050950000266</v>
      </c>
      <c r="W32" s="10">
        <f>[3]REG12!V32</f>
        <v>43606.104980000237</v>
      </c>
      <c r="X32" s="10">
        <f>V32-W32</f>
        <v>-124574.1559300005</v>
      </c>
      <c r="Y32" s="10">
        <f>X32/W32*100</f>
        <v>-285.6805394270732</v>
      </c>
      <c r="Z32" s="10"/>
      <c r="AA32" s="10">
        <f>AA29-AA31</f>
        <v>-348206.0155199985</v>
      </c>
      <c r="AB32" s="10">
        <f>AB29-AB31</f>
        <v>-93305.235320002233</v>
      </c>
      <c r="AC32" s="10">
        <f>AA32-AB32</f>
        <v>-254900.78019999625</v>
      </c>
      <c r="AD32" s="10">
        <f>AC32/AB32*100</f>
        <v>273.19022274128719</v>
      </c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15" customHeight="1" x14ac:dyDescent="0.2">
      <c r="A33" s="9" t="s">
        <v>22</v>
      </c>
      <c r="B33" s="10">
        <f>ROUND((B32/B21*100),0)</f>
        <v>-5</v>
      </c>
      <c r="C33" s="10">
        <f>[3]REG12!B33</f>
        <v>-4</v>
      </c>
      <c r="D33" s="10"/>
      <c r="E33" s="10">
        <f>B33-C33</f>
        <v>-1</v>
      </c>
      <c r="F33" s="10"/>
      <c r="G33" s="10">
        <f>ROUND((G32/G21*100),0)</f>
        <v>-3</v>
      </c>
      <c r="H33" s="10">
        <f>[3]REG12!G33</f>
        <v>-3</v>
      </c>
      <c r="I33" s="10"/>
      <c r="J33" s="10">
        <f>G33-H33</f>
        <v>0</v>
      </c>
      <c r="K33" s="10"/>
      <c r="L33" s="10">
        <f>ROUND((L32/L21*100),0)</f>
        <v>-1</v>
      </c>
      <c r="M33" s="10">
        <f>[3]REG12!L33</f>
        <v>0</v>
      </c>
      <c r="N33" s="10"/>
      <c r="O33" s="10">
        <f>L33-M33</f>
        <v>-1</v>
      </c>
      <c r="P33" s="10"/>
      <c r="Q33" s="10">
        <f>ROUND((Q32/Q21*100),0)</f>
        <v>-2</v>
      </c>
      <c r="R33" s="10">
        <f>[3]REG12!Q33</f>
        <v>0</v>
      </c>
      <c r="S33" s="10"/>
      <c r="T33" s="10">
        <f>Q33-R33</f>
        <v>-2</v>
      </c>
      <c r="U33" s="10"/>
      <c r="V33" s="10">
        <f>ROUND((V32/V21*100),0)</f>
        <v>-5</v>
      </c>
      <c r="W33" s="10">
        <f>[3]REG12!V33</f>
        <v>2</v>
      </c>
      <c r="X33" s="10"/>
      <c r="Y33" s="10">
        <f>V33-W33</f>
        <v>-7</v>
      </c>
      <c r="Z33" s="10"/>
      <c r="AA33" s="10">
        <f>ROUND((AA32/AA21*100),0)</f>
        <v>-2</v>
      </c>
      <c r="AB33" s="10">
        <f>ROUND((AB32/AB21*100),0)</f>
        <v>-1</v>
      </c>
      <c r="AC33" s="10"/>
      <c r="AD33" s="10">
        <f>AA33-AB33</f>
        <v>-1</v>
      </c>
      <c r="AE33"/>
      <c r="AF33"/>
      <c r="AG33"/>
      <c r="AH33"/>
      <c r="AI33"/>
      <c r="AJ33"/>
      <c r="AK33"/>
      <c r="AL33"/>
      <c r="AM33"/>
      <c r="AN33"/>
    </row>
    <row r="34" spans="1:40" ht="9.9499999999999993" customHeight="1" x14ac:dyDescent="0.2">
      <c r="A3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/>
      <c r="AF34"/>
      <c r="AG34"/>
      <c r="AH34"/>
      <c r="AI34"/>
      <c r="AJ34"/>
      <c r="AK34"/>
      <c r="AL34"/>
      <c r="AM34"/>
      <c r="AN34"/>
    </row>
    <row r="35" spans="1:40" ht="15.75" x14ac:dyDescent="0.25">
      <c r="A35" s="1" t="s">
        <v>31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/>
      <c r="AF35"/>
      <c r="AG35"/>
      <c r="AH35"/>
      <c r="AI35"/>
      <c r="AJ35"/>
      <c r="AK35"/>
      <c r="AL35"/>
      <c r="AM35"/>
      <c r="AN35"/>
    </row>
    <row r="36" spans="1:40" ht="9.9499999999999993" customHeight="1" x14ac:dyDescent="0.2">
      <c r="A36"/>
      <c r="B36" s="10"/>
      <c r="C36" s="10"/>
      <c r="D36" s="10"/>
      <c r="E36" s="10"/>
      <c r="F36" s="10"/>
      <c r="G36" s="10"/>
      <c r="H36" s="1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">
      <c r="A37" s="9" t="s">
        <v>32</v>
      </c>
      <c r="B37" s="14">
        <f>[2]FP!U31</f>
        <v>151471.15</v>
      </c>
      <c r="C37" s="14">
        <f>[3]REG12!B37</f>
        <v>147704.60999999999</v>
      </c>
      <c r="D37" s="10">
        <f>B37-C37</f>
        <v>3766.5400000000081</v>
      </c>
      <c r="E37" s="10">
        <f>D37/C37*100</f>
        <v>2.5500490472166093</v>
      </c>
      <c r="F37" s="10"/>
      <c r="G37" s="14">
        <f>[4]FP!U31</f>
        <v>26074.71</v>
      </c>
      <c r="H37" s="10">
        <f>[3]REG12!G37</f>
        <v>67492.259999999995</v>
      </c>
      <c r="I37" s="10">
        <f>G37-H37</f>
        <v>-41417.549999999996</v>
      </c>
      <c r="J37" s="10">
        <f>I37/H37*100</f>
        <v>-61.366370010427865</v>
      </c>
      <c r="K37" s="10"/>
      <c r="L37" s="14">
        <f>[5]FP!U31</f>
        <v>521682.52</v>
      </c>
      <c r="M37" s="10">
        <f>[3]REG12!L37</f>
        <v>467953.08</v>
      </c>
      <c r="N37" s="10">
        <f>L37-M37</f>
        <v>53729.440000000002</v>
      </c>
      <c r="O37" s="10">
        <f>N37/M37*100</f>
        <v>11.48180069677071</v>
      </c>
      <c r="P37" s="10"/>
      <c r="Q37" s="14">
        <f>[6]FP!U31</f>
        <v>290143.82</v>
      </c>
      <c r="R37" s="10">
        <f>[3]REG12!Q37</f>
        <v>362082.99</v>
      </c>
      <c r="S37" s="10">
        <f>Q37-R37</f>
        <v>-71939.169999999984</v>
      </c>
      <c r="T37" s="10">
        <f>S37/R37*100</f>
        <v>-19.868144040679731</v>
      </c>
      <c r="U37" s="10"/>
      <c r="V37" s="14">
        <f>[7]FP!U31</f>
        <v>101117.37</v>
      </c>
      <c r="W37" s="10">
        <f>[3]REG12!V37</f>
        <v>91898.05</v>
      </c>
      <c r="X37" s="10">
        <f>V37-W37</f>
        <v>9219.3199999999924</v>
      </c>
      <c r="Y37" s="10">
        <f>X37/W37*100</f>
        <v>10.032117112387033</v>
      </c>
      <c r="Z37" s="10"/>
      <c r="AA37" s="10">
        <f t="shared" ref="AA37:AB39" si="13">+B37+L37+Q37+V37+G37</f>
        <v>1090489.5699999998</v>
      </c>
      <c r="AB37" s="10">
        <f t="shared" si="13"/>
        <v>1137130.99</v>
      </c>
      <c r="AC37" s="10">
        <f>AA37-AB37</f>
        <v>-46641.420000000158</v>
      </c>
      <c r="AD37" s="10">
        <f>AC37/AB37*100</f>
        <v>-4.1016752168543187</v>
      </c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">
      <c r="A38" s="9" t="s">
        <v>33</v>
      </c>
      <c r="B38" s="10">
        <f>[2]FP!U32</f>
        <v>0</v>
      </c>
      <c r="C38" s="10">
        <f>[3]REG12!B38</f>
        <v>0</v>
      </c>
      <c r="D38" s="10">
        <f>B38-C38</f>
        <v>0</v>
      </c>
      <c r="E38" s="10"/>
      <c r="F38" s="10"/>
      <c r="G38" s="10">
        <f>[4]FP!U32</f>
        <v>0</v>
      </c>
      <c r="H38" s="10">
        <f>[3]REG12!G38</f>
        <v>0</v>
      </c>
      <c r="I38" s="10">
        <f>G38-H38</f>
        <v>0</v>
      </c>
      <c r="J38" s="10"/>
      <c r="K38" s="10"/>
      <c r="L38" s="10">
        <f>[5]FP!U32</f>
        <v>0</v>
      </c>
      <c r="M38" s="10">
        <f>[3]REG12!L38</f>
        <v>0</v>
      </c>
      <c r="N38" s="10">
        <f>L38-M38</f>
        <v>0</v>
      </c>
      <c r="O38" s="10"/>
      <c r="P38" s="10"/>
      <c r="Q38" s="10">
        <f>[6]FP!U32</f>
        <v>0</v>
      </c>
      <c r="R38" s="10">
        <f>[3]REG12!Q38</f>
        <v>0</v>
      </c>
      <c r="S38" s="10">
        <f>Q38-R38</f>
        <v>0</v>
      </c>
      <c r="T38" s="10"/>
      <c r="U38" s="10"/>
      <c r="V38" s="10">
        <f>[7]FP!U32</f>
        <v>0</v>
      </c>
      <c r="W38" s="10">
        <f>[3]REG12!V38</f>
        <v>0</v>
      </c>
      <c r="X38" s="10">
        <f>V38-W38</f>
        <v>0</v>
      </c>
      <c r="Y38" s="10"/>
      <c r="Z38" s="10"/>
      <c r="AA38" s="10">
        <f t="shared" si="13"/>
        <v>0</v>
      </c>
      <c r="AB38" s="10">
        <f t="shared" si="13"/>
        <v>0</v>
      </c>
      <c r="AC38" s="10">
        <f>AA38-AB38</f>
        <v>0</v>
      </c>
      <c r="AD38" s="10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">
      <c r="A39" s="9" t="s">
        <v>34</v>
      </c>
      <c r="B39" s="10">
        <f>[2]FP!U33</f>
        <v>25291.3</v>
      </c>
      <c r="C39" s="10">
        <f>[3]REG12!B39</f>
        <v>12134.88</v>
      </c>
      <c r="D39" s="10">
        <f>B39-C39</f>
        <v>13156.42</v>
      </c>
      <c r="E39" s="10">
        <f>D39/C39*100</f>
        <v>108.41821262344583</v>
      </c>
      <c r="F39" s="10"/>
      <c r="G39" s="10">
        <f>[4]FP!U33</f>
        <v>857.93</v>
      </c>
      <c r="H39" s="10">
        <f>[3]REG12!G39</f>
        <v>13410.75</v>
      </c>
      <c r="I39" s="10">
        <f>G39-H39</f>
        <v>-12552.82</v>
      </c>
      <c r="J39" s="10">
        <f>I39/H39*100</f>
        <v>-93.602669500214375</v>
      </c>
      <c r="K39" s="10"/>
      <c r="L39" s="10">
        <f>[5]FP!U33</f>
        <v>159080.67000000001</v>
      </c>
      <c r="M39" s="10">
        <f>[3]REG12!L39</f>
        <v>50196.49</v>
      </c>
      <c r="N39" s="10">
        <f>L39-M39</f>
        <v>108884.18000000002</v>
      </c>
      <c r="O39" s="10">
        <f>N39/M39*100</f>
        <v>216.91592380264044</v>
      </c>
      <c r="P39" s="10"/>
      <c r="Q39" s="10">
        <f>[6]FP!U33</f>
        <v>36288.379999999997</v>
      </c>
      <c r="R39" s="10">
        <f>[3]REG12!Q39</f>
        <v>108901.47</v>
      </c>
      <c r="S39" s="10">
        <f>Q39-R39</f>
        <v>-72613.09</v>
      </c>
      <c r="T39" s="10">
        <f>S39/R39*100</f>
        <v>-66.677786810407596</v>
      </c>
      <c r="U39" s="10"/>
      <c r="V39" s="10">
        <f>[7]FP!U33</f>
        <v>9061.23</v>
      </c>
      <c r="W39" s="10">
        <f>[3]REG12!V39</f>
        <v>13220.32</v>
      </c>
      <c r="X39" s="10">
        <f>V39-W39</f>
        <v>-4159.09</v>
      </c>
      <c r="Y39" s="10">
        <f>X39/W39*100</f>
        <v>-31.459828506420422</v>
      </c>
      <c r="Z39" s="10"/>
      <c r="AA39" s="10">
        <f t="shared" si="13"/>
        <v>230579.51</v>
      </c>
      <c r="AB39" s="10">
        <f t="shared" si="13"/>
        <v>197863.91</v>
      </c>
      <c r="AC39" s="10">
        <f>AA39-AB39</f>
        <v>32715.600000000006</v>
      </c>
      <c r="AD39" s="10">
        <f>AC39/AB39*100</f>
        <v>16.534394776692732</v>
      </c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">
      <c r="A40" s="9" t="s">
        <v>35</v>
      </c>
      <c r="B40" s="10"/>
      <c r="C40" s="10">
        <f>[3]REG12!B40</f>
        <v>0</v>
      </c>
      <c r="D40" s="10"/>
      <c r="E40" s="10"/>
      <c r="F40" s="10"/>
      <c r="G40" s="10"/>
      <c r="H40" s="10">
        <f>[3]REG12!G40</f>
        <v>0</v>
      </c>
      <c r="I40" s="10"/>
      <c r="J40" s="10"/>
      <c r="K40" s="10"/>
      <c r="L40" s="10"/>
      <c r="M40" s="10">
        <f>[3]REG12!L40</f>
        <v>0</v>
      </c>
      <c r="N40" s="10"/>
      <c r="O40" s="10"/>
      <c r="P40" s="10"/>
      <c r="Q40" s="10"/>
      <c r="R40" s="10">
        <f>[3]REG12!Q40</f>
        <v>0</v>
      </c>
      <c r="S40" s="10"/>
      <c r="T40" s="10"/>
      <c r="U40" s="10"/>
      <c r="V40" s="10"/>
      <c r="W40" s="10">
        <f>[3]REG12!V40</f>
        <v>0</v>
      </c>
      <c r="X40" s="10"/>
      <c r="Y40" s="10"/>
      <c r="Z40" s="10"/>
      <c r="AA40" s="10"/>
      <c r="AB40" s="10"/>
      <c r="AC40" s="10"/>
      <c r="AD40" s="1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">
      <c r="A41" s="9" t="s">
        <v>36</v>
      </c>
      <c r="B41" s="10">
        <f>[2]FP!$U$35</f>
        <v>327845.90000000002</v>
      </c>
      <c r="C41" s="10">
        <f>[3]REG12!B41</f>
        <v>323458.73</v>
      </c>
      <c r="D41" s="10">
        <f>B41-C41</f>
        <v>4387.1700000000419</v>
      </c>
      <c r="E41" s="10">
        <f>D41/C41*100</f>
        <v>1.3563306824335957</v>
      </c>
      <c r="F41" s="10"/>
      <c r="G41" s="10">
        <f>[4]FP!$U$35</f>
        <v>219095.71</v>
      </c>
      <c r="H41" s="10">
        <f>[3]REG12!G41</f>
        <v>135496.03</v>
      </c>
      <c r="I41" s="10">
        <f>G41-H41</f>
        <v>83599.679999999993</v>
      </c>
      <c r="J41" s="10">
        <f>I41/H41*100</f>
        <v>61.698988523870405</v>
      </c>
      <c r="K41" s="10"/>
      <c r="L41" s="10">
        <f>[5]FP!$U$35</f>
        <v>369768.6</v>
      </c>
      <c r="M41" s="10">
        <f>[3]REG12!L41</f>
        <v>348586.63</v>
      </c>
      <c r="N41" s="10">
        <f>L41-M41</f>
        <v>21181.969999999972</v>
      </c>
      <c r="O41" s="10">
        <f>N41/M41*100</f>
        <v>6.0765296706875906</v>
      </c>
      <c r="P41" s="10"/>
      <c r="Q41" s="10">
        <f>[6]FP!$U$35</f>
        <v>1490105.08</v>
      </c>
      <c r="R41" s="10">
        <f>[3]REG12!Q41</f>
        <v>1049588.3799999999</v>
      </c>
      <c r="S41" s="10">
        <f>Q41-R41</f>
        <v>440516.70000000019</v>
      </c>
      <c r="T41" s="10">
        <f>S41/R41*100</f>
        <v>41.97042463446482</v>
      </c>
      <c r="U41" s="10"/>
      <c r="V41" s="10">
        <f>[7]FP!$U$35</f>
        <v>440196.16</v>
      </c>
      <c r="W41" s="15">
        <f>[3]REG12!V41</f>
        <v>473782.79</v>
      </c>
      <c r="X41" s="10">
        <f>V41-W41</f>
        <v>-33586.630000000005</v>
      </c>
      <c r="Y41" s="10">
        <f>X41/W41*100</f>
        <v>-7.0890354628541932</v>
      </c>
      <c r="Z41" s="10"/>
      <c r="AA41" s="10">
        <f>+B41+L41+Q41+V41+G41</f>
        <v>2847011.45</v>
      </c>
      <c r="AB41" s="10">
        <f>+C41+M41+R41+W41+H41</f>
        <v>2330912.5599999996</v>
      </c>
      <c r="AC41" s="10">
        <f>AA41-AB41</f>
        <v>516098.8900000006</v>
      </c>
      <c r="AD41" s="10">
        <f>AC41/AB41*100</f>
        <v>22.141495088944936</v>
      </c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">
      <c r="A42" s="9" t="s">
        <v>37</v>
      </c>
      <c r="B42" s="16">
        <f>B41/(B13/'[1]DON''T DELETE'!B1)</f>
        <v>1.2102427471463408</v>
      </c>
      <c r="C42" s="16">
        <f>[3]REG12!B42</f>
        <v>1.1715555315220769</v>
      </c>
      <c r="D42" s="16">
        <f>B42-C42</f>
        <v>3.8687215624263915E-2</v>
      </c>
      <c r="E42" s="10">
        <f>D42/C42*100</f>
        <v>3.3022092921196613</v>
      </c>
      <c r="F42" s="10"/>
      <c r="G42" s="16">
        <f>G41/(G13/'[1]DON''T DELETE'!B1)</f>
        <v>2.0730897561224744</v>
      </c>
      <c r="H42" s="16">
        <f>[3]REG12!G42</f>
        <v>1.0604568546850444</v>
      </c>
      <c r="I42" s="16">
        <f>G42-H42</f>
        <v>1.01263290143743</v>
      </c>
      <c r="J42" s="10">
        <f>I42/H42*100</f>
        <v>95.490249977042382</v>
      </c>
      <c r="K42" s="10"/>
      <c r="L42" s="16">
        <f>L41/(L13/'[1]DON''T DELETE'!B1)</f>
        <v>1.1641285858737946</v>
      </c>
      <c r="M42" s="16">
        <f>[3]REG12!L42</f>
        <v>0.97769681820365872</v>
      </c>
      <c r="N42" s="16">
        <f>L42-M42</f>
        <v>0.18643176767013592</v>
      </c>
      <c r="O42" s="10">
        <f>N42/M42*100</f>
        <v>19.068464190429772</v>
      </c>
      <c r="P42" s="10"/>
      <c r="Q42" s="16">
        <f>Q41/(Q13/'[1]DON''T DELETE'!B1)</f>
        <v>1.6619894008329934</v>
      </c>
      <c r="R42" s="16">
        <f>[3]REG12!Q42</f>
        <v>1.2596873118261627</v>
      </c>
      <c r="S42" s="16">
        <f>Q42-R42</f>
        <v>0.40230208900683073</v>
      </c>
      <c r="T42" s="10">
        <f>S42/R42*100</f>
        <v>31.936662791626862</v>
      </c>
      <c r="U42" s="10"/>
      <c r="V42" s="16">
        <f>V41/(V13/'[1]DON''T DELETE'!B1)</f>
        <v>1.9522195523786841</v>
      </c>
      <c r="W42" s="16">
        <f>[3]REG12!V42</f>
        <v>2.0625021448891476</v>
      </c>
      <c r="X42" s="16">
        <f>V42-W42</f>
        <v>-0.11028259251046357</v>
      </c>
      <c r="Y42" s="10">
        <f>X42/W42*100</f>
        <v>-5.3470292277631</v>
      </c>
      <c r="Z42" s="10"/>
      <c r="AA42" s="16">
        <f>AA41/(AA13/'[1]DON''T DELETE'!B1)</f>
        <v>1.5674976807609333</v>
      </c>
      <c r="AB42" s="16">
        <f>AB41/(AB13/'[1]DON''T DELETE'!B1)</f>
        <v>1.2783825990033897</v>
      </c>
      <c r="AC42" s="16">
        <f>AA42-AB42</f>
        <v>0.28911508175754363</v>
      </c>
      <c r="AD42" s="10">
        <f>AC42/AB42*100</f>
        <v>22.61569282802613</v>
      </c>
      <c r="AE42" s="11"/>
      <c r="AF42" s="11"/>
      <c r="AG42" s="11"/>
      <c r="AH42" s="11"/>
      <c r="AI42" s="11"/>
      <c r="AJ42" s="11"/>
      <c r="AK42" s="11"/>
      <c r="AL42" s="11"/>
      <c r="AM42" s="11"/>
      <c r="AN42" s="11"/>
    </row>
    <row r="43" spans="1:40" ht="15" customHeight="1" x14ac:dyDescent="0.2">
      <c r="A43" s="9" t="s">
        <v>38</v>
      </c>
      <c r="B43" s="12" t="s">
        <v>23</v>
      </c>
      <c r="C43" s="12" t="str">
        <f>[3]REG12!B43</f>
        <v xml:space="preserve"> </v>
      </c>
      <c r="D43" s="10"/>
      <c r="E43" s="10"/>
      <c r="F43" s="10"/>
      <c r="G43" s="12" t="s">
        <v>23</v>
      </c>
      <c r="H43" s="12" t="str">
        <f>[3]REG12!G43</f>
        <v xml:space="preserve"> </v>
      </c>
      <c r="I43" s="10"/>
      <c r="J43" s="10"/>
      <c r="K43" s="10"/>
      <c r="L43" s="12" t="s">
        <v>23</v>
      </c>
      <c r="M43" s="12" t="str">
        <f>[3]REG12!L43</f>
        <v xml:space="preserve"> </v>
      </c>
      <c r="N43" s="10"/>
      <c r="O43" s="10"/>
      <c r="P43" s="10"/>
      <c r="Q43" s="17" t="s">
        <v>23</v>
      </c>
      <c r="R43" s="17" t="str">
        <f>[3]REG12!Q43</f>
        <v xml:space="preserve"> </v>
      </c>
      <c r="S43" s="16"/>
      <c r="T43" s="10"/>
      <c r="U43" s="10"/>
      <c r="V43" s="12" t="s">
        <v>23</v>
      </c>
      <c r="W43" s="12" t="str">
        <f>[3]REG12!V43</f>
        <v xml:space="preserve"> </v>
      </c>
      <c r="X43" s="10"/>
      <c r="Y43" s="10"/>
      <c r="Z43" s="10"/>
      <c r="AA43" s="12" t="s">
        <v>23</v>
      </c>
      <c r="AB43" s="12" t="s">
        <v>23</v>
      </c>
      <c r="AC43" s="10"/>
      <c r="AD43" s="10"/>
      <c r="AE43" s="11"/>
      <c r="AF43" s="11"/>
      <c r="AG43" s="11"/>
      <c r="AH43" s="11"/>
      <c r="AI43" s="11"/>
      <c r="AJ43" s="11"/>
      <c r="AK43" s="11"/>
      <c r="AL43" s="11"/>
      <c r="AM43" s="11"/>
      <c r="AN43" s="11"/>
    </row>
    <row r="44" spans="1:40" ht="15" customHeight="1" x14ac:dyDescent="0.2">
      <c r="A44" s="9" t="s">
        <v>36</v>
      </c>
      <c r="B44" s="10">
        <f>[2]FP!$U$38</f>
        <v>193459.62</v>
      </c>
      <c r="C44" s="10">
        <f>[3]REG12!B44</f>
        <v>323458.73</v>
      </c>
      <c r="D44" s="10">
        <f>B44-C44</f>
        <v>-129999.10999999999</v>
      </c>
      <c r="E44" s="10">
        <f>D44/C44*100</f>
        <v>-40.190323507422413</v>
      </c>
      <c r="F44" s="10"/>
      <c r="G44" s="10">
        <f>[4]FP!$U$38</f>
        <v>90971.05</v>
      </c>
      <c r="H44" s="10">
        <f>[3]REG12!G44</f>
        <v>94096.71</v>
      </c>
      <c r="I44" s="10">
        <f>G44-H44</f>
        <v>-3125.6600000000035</v>
      </c>
      <c r="J44" s="10">
        <f>I44/H44*100</f>
        <v>-3.3217526946478824</v>
      </c>
      <c r="K44" s="10"/>
      <c r="L44" s="10">
        <f>[5]FP!$U$38</f>
        <v>209482.42</v>
      </c>
      <c r="M44" s="10">
        <f>[3]REG12!L44</f>
        <v>223533.88</v>
      </c>
      <c r="N44" s="10">
        <f>L44-M44</f>
        <v>-14051.459999999992</v>
      </c>
      <c r="O44" s="10">
        <f>N44/M44*100</f>
        <v>-6.2860538187768187</v>
      </c>
      <c r="P44" s="10"/>
      <c r="Q44" s="10">
        <f>[6]FP!$U$38</f>
        <v>788677.43</v>
      </c>
      <c r="R44" s="10">
        <f>[3]REG12!Q44</f>
        <v>395271.25</v>
      </c>
      <c r="S44" s="10">
        <f>Q44-R44</f>
        <v>393406.18000000005</v>
      </c>
      <c r="T44" s="10">
        <f>S44/R44*100</f>
        <v>99.528154400301077</v>
      </c>
      <c r="U44" s="10"/>
      <c r="V44" s="10">
        <f>[7]FP!$U$38</f>
        <v>211358.42</v>
      </c>
      <c r="W44" s="10">
        <f>[3]REG12!V44</f>
        <v>169376.06</v>
      </c>
      <c r="X44" s="10">
        <f>V44-W44</f>
        <v>41982.360000000015</v>
      </c>
      <c r="Y44" s="10">
        <f>X44/W44*100</f>
        <v>24.786478089052263</v>
      </c>
      <c r="Z44" s="10"/>
      <c r="AA44" s="10">
        <f>+B44+L44+Q44+V44+G44</f>
        <v>1493948.9400000002</v>
      </c>
      <c r="AB44" s="10">
        <f>+C44+M44+R44+W44+H44</f>
        <v>1205736.6299999999</v>
      </c>
      <c r="AC44" s="10">
        <f t="shared" ref="AC44:AC49" si="14">AA44-AB44</f>
        <v>288212.31000000029</v>
      </c>
      <c r="AD44" s="10">
        <f t="shared" ref="AD44:AD49" si="15">AC44/AB44*100</f>
        <v>23.903421595477305</v>
      </c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  <row r="45" spans="1:40" ht="15" customHeight="1" x14ac:dyDescent="0.2">
      <c r="A45" s="9" t="s">
        <v>39</v>
      </c>
      <c r="B45" s="16">
        <f>B44/(B22/'[1]DON''T DELETE'!B1)</f>
        <v>0.96709880576370744</v>
      </c>
      <c r="C45" s="16">
        <f>[3]REG12!B45</f>
        <v>1.5423348449438055</v>
      </c>
      <c r="D45" s="16">
        <f>B45-C45</f>
        <v>-0.57523603918009802</v>
      </c>
      <c r="E45" s="10">
        <f>D45/C45*100</f>
        <v>-37.296443185854145</v>
      </c>
      <c r="F45" s="10"/>
      <c r="G45" s="16">
        <f>G44/(G22/'[1]DON''T DELETE'!B1)</f>
        <v>1.0824596796445511</v>
      </c>
      <c r="H45" s="16">
        <f>[3]REG12!G45</f>
        <v>0.92375013563088726</v>
      </c>
      <c r="I45" s="16">
        <f>G45-H45</f>
        <v>0.15870954401366388</v>
      </c>
      <c r="J45" s="10">
        <f>I45/H45*100</f>
        <v>17.181003595227743</v>
      </c>
      <c r="K45" s="10"/>
      <c r="L45" s="16">
        <f>L44/(L22/'[1]DON''T DELETE'!B1)</f>
        <v>0.89378903833461754</v>
      </c>
      <c r="M45" s="16">
        <f>[3]REG12!L45</f>
        <v>0.80538493353607921</v>
      </c>
      <c r="N45" s="16">
        <f>L45-M45</f>
        <v>8.840410479853833E-2</v>
      </c>
      <c r="O45" s="10">
        <f>N45/M45*100</f>
        <v>10.976627587307362</v>
      </c>
      <c r="P45" s="10"/>
      <c r="Q45" s="16">
        <f>Q44/(Q22/'[1]DON''T DELETE'!B1)</f>
        <v>1.076643236437751</v>
      </c>
      <c r="R45" s="16">
        <f>[3]REG12!Q45</f>
        <v>0.58020752355326044</v>
      </c>
      <c r="S45" s="16">
        <f>Q45-R45</f>
        <v>0.49643571288449051</v>
      </c>
      <c r="T45" s="10">
        <f>S45/R45*100</f>
        <v>85.56175036205299</v>
      </c>
      <c r="U45" s="10"/>
      <c r="V45" s="16">
        <f>V44/(V22/'[1]DON''T DELETE'!B1)</f>
        <v>1.273311808969819</v>
      </c>
      <c r="W45" s="16">
        <f>[3]REG12!V45</f>
        <v>1.0270683711477466</v>
      </c>
      <c r="X45" s="16">
        <f>V45-W45</f>
        <v>0.24624343782207236</v>
      </c>
      <c r="Y45" s="10">
        <f>X45/W45*100</f>
        <v>23.975369580011101</v>
      </c>
      <c r="Z45" s="10"/>
      <c r="AA45" s="16">
        <f>AA44/(AA22/'[1]DON''T DELETE'!B1)</f>
        <v>1.0543169742652234</v>
      </c>
      <c r="AB45" s="16">
        <f>AB44/(AB22/'[1]DON''T DELETE'!B1)</f>
        <v>0.84005681937276899</v>
      </c>
      <c r="AC45" s="16">
        <f t="shared" si="14"/>
        <v>0.21426015489245442</v>
      </c>
      <c r="AD45" s="10">
        <f t="shared" si="15"/>
        <v>25.505436055198317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  <row r="46" spans="1:40" ht="15" customHeight="1" x14ac:dyDescent="0.2">
      <c r="A46" s="9" t="s">
        <v>40</v>
      </c>
      <c r="B46" s="10">
        <f>[2]FP!U40</f>
        <v>197314.43196000002</v>
      </c>
      <c r="C46" s="10">
        <f>[3]REG12!B46</f>
        <v>214923.62437666664</v>
      </c>
      <c r="D46" s="10">
        <f>B46-C46</f>
        <v>-17609.192416666629</v>
      </c>
      <c r="E46" s="10">
        <f>D46/C46*100</f>
        <v>-8.1932325809867486</v>
      </c>
      <c r="F46" s="10"/>
      <c r="G46" s="10">
        <f>[4]FP!U40</f>
        <v>84097.569352222228</v>
      </c>
      <c r="H46" s="10">
        <f>[3]REG12!G46</f>
        <v>104884.01369222222</v>
      </c>
      <c r="I46" s="10">
        <f>G46-H46</f>
        <v>-20786.444339999987</v>
      </c>
      <c r="J46" s="10">
        <f>I46/H46*100</f>
        <v>-19.818505802988192</v>
      </c>
      <c r="K46" s="10"/>
      <c r="L46" s="10">
        <f>[5]FP!U40</f>
        <v>258035.35440444446</v>
      </c>
      <c r="M46" s="10">
        <f>[3]REG12!L46</f>
        <v>313490.17409444443</v>
      </c>
      <c r="N46" s="10">
        <f>L46-M46</f>
        <v>-55454.819689999975</v>
      </c>
      <c r="O46" s="10">
        <f>N46/M46*100</f>
        <v>-17.689492134861375</v>
      </c>
      <c r="P46" s="10"/>
      <c r="Q46" s="10">
        <f>[6]FP!U40</f>
        <v>825980.46918888902</v>
      </c>
      <c r="R46" s="10">
        <f>[3]REG12!Q46</f>
        <v>746923.41394333332</v>
      </c>
      <c r="S46" s="10">
        <f>Q46-R46</f>
        <v>79057.055245555704</v>
      </c>
      <c r="T46" s="10">
        <f>S46/R46*100</f>
        <v>10.584358954310877</v>
      </c>
      <c r="U46" s="10"/>
      <c r="V46" s="10">
        <f>[7]FP!U40</f>
        <v>155154.25337777779</v>
      </c>
      <c r="W46" s="10">
        <f>[3]REG12!V46</f>
        <v>163965.43670222221</v>
      </c>
      <c r="X46" s="10">
        <f>V46-W46</f>
        <v>-8811.1833244444279</v>
      </c>
      <c r="Y46" s="10">
        <f>X46/W46*100</f>
        <v>-5.3738052980314537</v>
      </c>
      <c r="Z46" s="10"/>
      <c r="AA46" s="10">
        <f>+B46+L46+Q46+V46+G46</f>
        <v>1520582.0782833335</v>
      </c>
      <c r="AB46" s="10">
        <f t="shared" ref="AA46:AB49" si="16">+C46+M46+R46+W46+H46</f>
        <v>1544186.6628088888</v>
      </c>
      <c r="AC46" s="10">
        <f t="shared" si="14"/>
        <v>-23604.584525555372</v>
      </c>
      <c r="AD46" s="10">
        <f t="shared" si="15"/>
        <v>-1.5286095323876474</v>
      </c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">
      <c r="A47" s="9" t="s">
        <v>41</v>
      </c>
      <c r="B47" s="10">
        <f>[2]FP!U41</f>
        <v>255.76464999999999</v>
      </c>
      <c r="C47" s="10">
        <f>[3]REG12!B47</f>
        <v>17.75</v>
      </c>
      <c r="D47" s="10">
        <f>B47-C47</f>
        <v>238.01464999999999</v>
      </c>
      <c r="E47" s="10">
        <f>D47/C47*100</f>
        <v>1340.9276056338028</v>
      </c>
      <c r="F47" s="10"/>
      <c r="G47" s="10">
        <f>[4]FP!U41</f>
        <v>5287.4421400000001</v>
      </c>
      <c r="H47" s="10">
        <f>[3]REG12!G47</f>
        <v>45.610289999999999</v>
      </c>
      <c r="I47" s="10">
        <f>G47-H47</f>
        <v>5241.8318500000005</v>
      </c>
      <c r="J47" s="10">
        <f>I47/H47*100</f>
        <v>11492.65187746011</v>
      </c>
      <c r="K47" s="10"/>
      <c r="L47" s="10">
        <f>[5]FP!U41</f>
        <v>757.45778000000007</v>
      </c>
      <c r="M47" s="10">
        <f>[3]REG12!L47</f>
        <v>899.90746000000001</v>
      </c>
      <c r="N47" s="10">
        <f>L47-M47</f>
        <v>-142.44967999999994</v>
      </c>
      <c r="O47" s="10">
        <f>N47/M47*100</f>
        <v>-15.829369833204844</v>
      </c>
      <c r="P47" s="10"/>
      <c r="Q47" s="10">
        <f>[6]FP!U41</f>
        <v>89970.916939999996</v>
      </c>
      <c r="R47" s="10">
        <f>[3]REG12!Q47</f>
        <v>96095.397200000007</v>
      </c>
      <c r="S47" s="10">
        <f>Q47-R47</f>
        <v>-6124.4802600000112</v>
      </c>
      <c r="T47" s="10">
        <f>S47/R47*100</f>
        <v>-6.3733336231009519</v>
      </c>
      <c r="U47" s="10"/>
      <c r="V47" s="10">
        <f>[7]FP!U41</f>
        <v>1752.0716100000002</v>
      </c>
      <c r="W47" s="10">
        <f>[3]REG12!V47</f>
        <v>5425.2747900000004</v>
      </c>
      <c r="X47" s="10">
        <f>V47-W47</f>
        <v>-3673.2031800000004</v>
      </c>
      <c r="Y47" s="10">
        <f>X47/W47*100</f>
        <v>-67.705384928530037</v>
      </c>
      <c r="Z47" s="10"/>
      <c r="AA47" s="10">
        <f>+B47+L47+Q47+V47+G47</f>
        <v>98023.653119999988</v>
      </c>
      <c r="AB47" s="10">
        <f t="shared" si="16"/>
        <v>102483.93974</v>
      </c>
      <c r="AC47" s="10">
        <f t="shared" si="14"/>
        <v>-4460.2866200000135</v>
      </c>
      <c r="AD47" s="10">
        <f t="shared" si="15"/>
        <v>-4.3521810649704573</v>
      </c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">
      <c r="A48" s="9" t="s">
        <v>42</v>
      </c>
      <c r="B48" s="10">
        <f>[2]FP!U42</f>
        <v>62280.439209999997</v>
      </c>
      <c r="C48" s="10">
        <f>[3]REG12!B48</f>
        <v>40929.174420000003</v>
      </c>
      <c r="D48" s="10">
        <f>B48-C48</f>
        <v>21351.264789999994</v>
      </c>
      <c r="E48" s="10">
        <f>D48/C48*100</f>
        <v>52.166370547573806</v>
      </c>
      <c r="F48" s="10"/>
      <c r="G48" s="10">
        <f>[4]FP!U42</f>
        <v>30260.752800000002</v>
      </c>
      <c r="H48" s="10">
        <f>[3]REG12!G48</f>
        <v>19360.400320000001</v>
      </c>
      <c r="I48" s="10">
        <f>G48-H48</f>
        <v>10900.352480000001</v>
      </c>
      <c r="J48" s="10">
        <f>I48/H48*100</f>
        <v>56.302309352247946</v>
      </c>
      <c r="K48" s="10"/>
      <c r="L48" s="10">
        <f>[5]FP!U42</f>
        <v>80733.073279999997</v>
      </c>
      <c r="M48" s="10">
        <f>[3]REG12!L48</f>
        <v>53595.428</v>
      </c>
      <c r="N48" s="10">
        <f>L48-M48</f>
        <v>27137.645279999997</v>
      </c>
      <c r="O48" s="10">
        <f>N48/M48*100</f>
        <v>50.634254250194623</v>
      </c>
      <c r="P48" s="10"/>
      <c r="Q48" s="10">
        <f>[6]FP!U42</f>
        <v>266782.94575000001</v>
      </c>
      <c r="R48" s="10">
        <f>[3]REG12!Q48</f>
        <v>181902.06255999999</v>
      </c>
      <c r="S48" s="10">
        <f>Q48-R48</f>
        <v>84880.883190000022</v>
      </c>
      <c r="T48" s="10">
        <f>S48/R48*100</f>
        <v>46.662958075036812</v>
      </c>
      <c r="U48" s="10"/>
      <c r="V48" s="10">
        <f>[7]FP!U42</f>
        <v>64192.492419999995</v>
      </c>
      <c r="W48" s="10">
        <f>[3]REG12!V48</f>
        <v>43897.768219999998</v>
      </c>
      <c r="X48" s="10">
        <f>V48-W48</f>
        <v>20294.724199999997</v>
      </c>
      <c r="Y48" s="10">
        <f>X48/W48*100</f>
        <v>46.231790414241694</v>
      </c>
      <c r="Z48" s="10"/>
      <c r="AA48" s="10">
        <f>+B48+L48+Q48+V48+G48</f>
        <v>504249.70345999999</v>
      </c>
      <c r="AB48" s="10">
        <f t="shared" si="16"/>
        <v>339684.83351999999</v>
      </c>
      <c r="AC48" s="10">
        <f t="shared" si="14"/>
        <v>164564.86994</v>
      </c>
      <c r="AD48" s="10">
        <f t="shared" si="15"/>
        <v>48.446340166173698</v>
      </c>
      <c r="AE48"/>
      <c r="AF48"/>
      <c r="AG48"/>
      <c r="AH48"/>
      <c r="AI48"/>
      <c r="AJ48"/>
      <c r="AK48"/>
      <c r="AL48"/>
      <c r="AM48"/>
      <c r="AN48"/>
    </row>
    <row r="49" spans="1:40" ht="15" hidden="1" customHeight="1" x14ac:dyDescent="0.2">
      <c r="A49" s="9" t="s">
        <v>43</v>
      </c>
      <c r="B49" s="10">
        <v>87786</v>
      </c>
      <c r="C49" s="10">
        <v>893626</v>
      </c>
      <c r="D49" s="10">
        <v>0</v>
      </c>
      <c r="E49" s="10">
        <v>0</v>
      </c>
      <c r="F49" s="10"/>
      <c r="G49" s="10">
        <v>87786</v>
      </c>
      <c r="H49" s="10">
        <v>407927</v>
      </c>
      <c r="I49" s="10">
        <v>0</v>
      </c>
      <c r="J49" s="10">
        <v>0</v>
      </c>
      <c r="K49" s="10"/>
      <c r="L49" s="10">
        <v>87786</v>
      </c>
      <c r="M49" s="10">
        <v>1109146</v>
      </c>
      <c r="N49" s="10">
        <v>0</v>
      </c>
      <c r="O49" s="10">
        <v>0</v>
      </c>
      <c r="P49" s="10"/>
      <c r="Q49" s="10">
        <v>87786</v>
      </c>
      <c r="R49" s="10">
        <v>2578623</v>
      </c>
      <c r="S49" s="10">
        <v>0</v>
      </c>
      <c r="T49" s="10">
        <v>0</v>
      </c>
      <c r="U49" s="10"/>
      <c r="V49" s="10">
        <v>87786</v>
      </c>
      <c r="W49" s="10">
        <v>705768</v>
      </c>
      <c r="X49" s="10">
        <v>0</v>
      </c>
      <c r="Y49" s="10">
        <v>0</v>
      </c>
      <c r="Z49" s="10"/>
      <c r="AA49" s="10">
        <f t="shared" si="16"/>
        <v>438930</v>
      </c>
      <c r="AB49" s="10">
        <f t="shared" si="16"/>
        <v>5695090</v>
      </c>
      <c r="AC49" s="10">
        <f t="shared" si="14"/>
        <v>-5256160</v>
      </c>
      <c r="AD49" s="10">
        <f t="shared" si="15"/>
        <v>-92.292834704982724</v>
      </c>
      <c r="AE49"/>
      <c r="AF49"/>
      <c r="AG49"/>
      <c r="AH49"/>
      <c r="AI49"/>
      <c r="AJ49"/>
      <c r="AK49"/>
      <c r="AL49"/>
      <c r="AM49"/>
      <c r="AN49"/>
    </row>
    <row r="50" spans="1:40" ht="9.9499999999999993" customHeight="1" x14ac:dyDescent="0.2">
      <c r="A50"/>
      <c r="B50" s="10"/>
      <c r="C50" s="10"/>
      <c r="D50" s="10"/>
      <c r="E50" s="10"/>
      <c r="F50" s="10"/>
      <c r="G50" s="10"/>
      <c r="H50" s="15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/>
      <c r="AF50"/>
      <c r="AG50"/>
      <c r="AH50"/>
      <c r="AI50"/>
      <c r="AJ50"/>
      <c r="AK50"/>
      <c r="AL50"/>
      <c r="AM50"/>
      <c r="AN50"/>
    </row>
    <row r="51" spans="1:40" ht="20.100000000000001" customHeight="1" x14ac:dyDescent="0.25">
      <c r="A51" s="1" t="s">
        <v>44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/>
      <c r="AF51"/>
      <c r="AG51"/>
      <c r="AH51"/>
      <c r="AI51"/>
      <c r="AJ51"/>
      <c r="AK51"/>
      <c r="AL51"/>
      <c r="AM51"/>
      <c r="AN51"/>
    </row>
    <row r="52" spans="1:40" ht="15.95" customHeight="1" x14ac:dyDescent="0.2">
      <c r="A52" s="9" t="s">
        <v>45</v>
      </c>
      <c r="B52" s="10">
        <f>'[8]financial profile(mcso)'!X142</f>
        <v>264335.56315</v>
      </c>
      <c r="C52" s="10">
        <f>[3]REG12!B52</f>
        <v>259479.23915000001</v>
      </c>
      <c r="D52" s="10">
        <f>B52-C52</f>
        <v>4856.3239999999932</v>
      </c>
      <c r="E52" s="10">
        <f>D52/C52*100</f>
        <v>1.8715655309874888</v>
      </c>
      <c r="F52" s="10"/>
      <c r="G52" s="10">
        <f>'[8]financial profile(mcso)'!Y142</f>
        <v>84145.82776</v>
      </c>
      <c r="H52" s="10">
        <f>[3]REG12!G52</f>
        <v>80447.831760000001</v>
      </c>
      <c r="I52" s="10">
        <f>G52-H52</f>
        <v>3697.9959999999992</v>
      </c>
      <c r="J52" s="10">
        <f>I52/H52*100</f>
        <v>4.5967627953382637</v>
      </c>
      <c r="K52" s="10"/>
      <c r="L52" s="10">
        <f>'[8]financial profile(mcso)'!Z142</f>
        <v>387032.46674</v>
      </c>
      <c r="M52" s="10">
        <f>[3]REG12!L52</f>
        <v>355956.22074000002</v>
      </c>
      <c r="N52" s="10">
        <f>L52-M52</f>
        <v>31076.245999999985</v>
      </c>
      <c r="O52" s="10">
        <f>N52/M52*100</f>
        <v>8.7303562037475686</v>
      </c>
      <c r="P52" s="10"/>
      <c r="Q52" s="10">
        <f>'[8]financial profile(mcso)'!AA142</f>
        <v>171845.81976999997</v>
      </c>
      <c r="R52" s="10">
        <f>[3]REG12!Q52</f>
        <v>164751.34377000001</v>
      </c>
      <c r="S52" s="10">
        <f>Q52-R52</f>
        <v>7094.475999999966</v>
      </c>
      <c r="T52" s="10">
        <f>S52/R52*100</f>
        <v>4.3061718573319565</v>
      </c>
      <c r="U52" s="10"/>
      <c r="V52" s="10">
        <f>'[8]financial profile(mcso)'!AB142</f>
        <v>367031.94103999995</v>
      </c>
      <c r="W52" s="10">
        <f>[3]REG12!V52</f>
        <v>334297.77552999998</v>
      </c>
      <c r="X52" s="10">
        <f>V52-W52</f>
        <v>32734.165509999963</v>
      </c>
      <c r="Y52" s="10">
        <f>X52/W52*100</f>
        <v>9.7919184350248205</v>
      </c>
      <c r="Z52" s="10"/>
      <c r="AA52" s="10">
        <f>B52+G52+L52+Q52+V52</f>
        <v>1274391.61846</v>
      </c>
      <c r="AB52" s="10">
        <f>C52+H52+M52+R52+W52</f>
        <v>1194932.4109499999</v>
      </c>
      <c r="AC52" s="10">
        <f>AA52-AB52</f>
        <v>79459.207510000095</v>
      </c>
      <c r="AD52" s="10">
        <f>AC52/AB52*100</f>
        <v>6.6496821729714508</v>
      </c>
      <c r="AE52"/>
      <c r="AF52"/>
      <c r="AG52"/>
      <c r="AH52"/>
      <c r="AI52"/>
      <c r="AJ52"/>
      <c r="AK52"/>
      <c r="AL52"/>
      <c r="AM52"/>
      <c r="AN52"/>
    </row>
    <row r="53" spans="1:40" ht="15.95" customHeight="1" x14ac:dyDescent="0.2">
      <c r="A53" s="9" t="s">
        <v>46</v>
      </c>
      <c r="B53" s="10">
        <f>'[8]financial profile(mcso)'!X143</f>
        <v>279076.11365000001</v>
      </c>
      <c r="C53" s="10">
        <f>[3]REG12!B53</f>
        <v>274219.78964999999</v>
      </c>
      <c r="D53" s="10">
        <f>B53-C53</f>
        <v>4856.3240000000224</v>
      </c>
      <c r="E53" s="10">
        <f>D53/C53*100</f>
        <v>1.7709604424240803</v>
      </c>
      <c r="F53" s="10"/>
      <c r="G53" s="10">
        <f>'[8]financial profile(mcso)'!Y143</f>
        <v>88522.843760000003</v>
      </c>
      <c r="H53" s="10">
        <f>[3]REG12!G53</f>
        <v>84824.847760000004</v>
      </c>
      <c r="I53" s="10">
        <f>G53-H53</f>
        <v>3697.9959999999992</v>
      </c>
      <c r="J53" s="10">
        <f>I53/H53*100</f>
        <v>4.359566916598494</v>
      </c>
      <c r="K53" s="10"/>
      <c r="L53" s="10">
        <f>'[8]financial profile(mcso)'!Z143</f>
        <v>409285.64004000003</v>
      </c>
      <c r="M53" s="10">
        <f>[3]REG12!L53</f>
        <v>378209.39604000002</v>
      </c>
      <c r="N53" s="10">
        <f>L53-M53</f>
        <v>31076.244000000006</v>
      </c>
      <c r="O53" s="10">
        <f>N53/M53*100</f>
        <v>8.2166768793637619</v>
      </c>
      <c r="P53" s="10"/>
      <c r="Q53" s="10">
        <f>'[8]financial profile(mcso)'!AA143</f>
        <v>171845.82132999998</v>
      </c>
      <c r="R53" s="10">
        <f>[3]REG12!Q53</f>
        <v>164751.34833000001</v>
      </c>
      <c r="S53" s="10">
        <f>Q53-R53</f>
        <v>7094.472999999969</v>
      </c>
      <c r="T53" s="10">
        <f>S53/R53*100</f>
        <v>4.3061699172194983</v>
      </c>
      <c r="U53" s="10"/>
      <c r="V53" s="10">
        <f>'[8]financial profile(mcso)'!AB143</f>
        <v>367251.95461686794</v>
      </c>
      <c r="W53" s="10">
        <f>[3]REG12!V53</f>
        <v>334300.48208999995</v>
      </c>
      <c r="X53" s="10">
        <f>V53-W53</f>
        <v>32951.47252686799</v>
      </c>
      <c r="Y53" s="10">
        <f>X53/W53*100</f>
        <v>9.8568426586943545</v>
      </c>
      <c r="Z53" s="10"/>
      <c r="AA53" s="10">
        <f>B53+G53+L53+Q53+V53</f>
        <v>1315982.3733968679</v>
      </c>
      <c r="AB53" s="10">
        <f>C53+H53+M53+R53+W53</f>
        <v>1236305.86387</v>
      </c>
      <c r="AC53" s="10">
        <f>AA53-AB53</f>
        <v>79676.509526867885</v>
      </c>
      <c r="AD53" s="10">
        <f>AC53/AB53*100</f>
        <v>6.4447247121725226</v>
      </c>
      <c r="AE53"/>
      <c r="AF53"/>
      <c r="AG53"/>
      <c r="AH53"/>
      <c r="AI53"/>
      <c r="AJ53"/>
      <c r="AK53"/>
      <c r="AL53"/>
      <c r="AM53"/>
      <c r="AN53"/>
    </row>
    <row r="54" spans="1:40" ht="15.95" customHeight="1" x14ac:dyDescent="0.2">
      <c r="A54" s="9" t="s">
        <v>47</v>
      </c>
      <c r="B54" s="16">
        <f>'[8]financial profile(mcso)'!X144</f>
        <v>-12.141323766700914</v>
      </c>
      <c r="C54" s="16">
        <f>[3]REG12!B54</f>
        <v>-12.141323766700891</v>
      </c>
      <c r="D54" s="16">
        <f>B54-C54</f>
        <v>-2.3092638912203256E-14</v>
      </c>
      <c r="E54" s="10">
        <f>D54/C54*100</f>
        <v>1.9019869131187925E-13</v>
      </c>
      <c r="F54" s="10"/>
      <c r="G54" s="16">
        <f>'[8]financial profile(mcso)'!Y144</f>
        <v>-4.7344734823942511</v>
      </c>
      <c r="H54" s="16">
        <f>[3]REG12!G54</f>
        <v>-4.7344734823942511</v>
      </c>
      <c r="I54" s="16">
        <f>G54-H54</f>
        <v>0</v>
      </c>
      <c r="J54" s="10">
        <f>I54/H54*100</f>
        <v>0</v>
      </c>
      <c r="K54" s="10"/>
      <c r="L54" s="16">
        <f>'[8]financial profile(mcso)'!Z144</f>
        <v>-2.7589234789961212</v>
      </c>
      <c r="M54" s="16">
        <f>[3]REG12!L54</f>
        <v>-3.0994860322963542</v>
      </c>
      <c r="N54" s="16">
        <f>L54-M54</f>
        <v>0.340562553300233</v>
      </c>
      <c r="O54" s="10">
        <f>N54/M54*100</f>
        <v>-10.987710534959767</v>
      </c>
      <c r="P54" s="10"/>
      <c r="Q54" s="16">
        <f>'[8]financial profile(mcso)'!AA144</f>
        <v>0</v>
      </c>
      <c r="R54" s="16">
        <f>[3]REG12!Q54</f>
        <v>-1.9282618923099701E-6</v>
      </c>
      <c r="S54" s="16">
        <f>Q54-R54</f>
        <v>1.9282618923099701E-6</v>
      </c>
      <c r="T54" s="10">
        <f>S54/R54*100</f>
        <v>-100</v>
      </c>
      <c r="U54" s="10"/>
      <c r="V54" s="16">
        <f>'[8]financial profile(mcso)'!AB144</f>
        <v>-2.7181525914748948E-2</v>
      </c>
      <c r="W54" s="16">
        <f>[3]REG12!V54</f>
        <v>-3.2716387542522954E-4</v>
      </c>
      <c r="X54" s="16">
        <f>V54-W54</f>
        <v>-2.6854362039323718E-2</v>
      </c>
      <c r="Y54" s="10">
        <f t="shared" ref="Y54:Y55" si="17">X54/W54*100</f>
        <v>8208.2295927140185</v>
      </c>
      <c r="Z54" s="10"/>
      <c r="AA54" s="18">
        <f>+'[8]financial profile(mcso)'!$I$146</f>
        <v>-2.2728800620321516</v>
      </c>
      <c r="AB54" s="18">
        <f>+'[9]financial profile(mcso)'!$I$146</f>
        <v>-2.0732510061969878</v>
      </c>
      <c r="AC54" s="16">
        <f>AA54-AB54</f>
        <v>-0.19962905583516388</v>
      </c>
      <c r="AD54" s="10">
        <f>AC54/AB54*100</f>
        <v>9.6287933896314897</v>
      </c>
      <c r="AE54"/>
      <c r="AF54"/>
      <c r="AG54"/>
      <c r="AH54"/>
      <c r="AI54"/>
      <c r="AJ54"/>
      <c r="AK54"/>
      <c r="AL54"/>
      <c r="AM54"/>
      <c r="AN54"/>
    </row>
    <row r="55" spans="1:40" ht="17.25" customHeight="1" x14ac:dyDescent="0.2">
      <c r="A55" s="9" t="s">
        <v>48</v>
      </c>
      <c r="B55" s="10">
        <f>'[8]financial profile(mcso)'!X145</f>
        <v>-14740.550500000012</v>
      </c>
      <c r="C55" s="10">
        <f>[3]REG12!B55</f>
        <v>-14740.550499999983</v>
      </c>
      <c r="D55" s="10">
        <f>B55-C55</f>
        <v>-2.9103830456733704E-11</v>
      </c>
      <c r="E55" s="10">
        <f>D55/C55*100</f>
        <v>1.9744059393666292E-13</v>
      </c>
      <c r="F55" s="10"/>
      <c r="G55" s="10">
        <f>'[8]financial profile(mcso)'!Y145</f>
        <v>-4377.0160000000033</v>
      </c>
      <c r="H55" s="10">
        <f>[3]REG12!G55</f>
        <v>-4377.0160000000033</v>
      </c>
      <c r="I55" s="10">
        <f>G55-H55</f>
        <v>0</v>
      </c>
      <c r="J55" s="10">
        <f>I55/H55*100</f>
        <v>0</v>
      </c>
      <c r="K55" s="10"/>
      <c r="L55" s="10">
        <f>'[8]financial profile(mcso)'!Z145</f>
        <v>-22253.173300000024</v>
      </c>
      <c r="M55" s="10">
        <f>[3]REG12!L55</f>
        <v>-22253.175300000003</v>
      </c>
      <c r="N55" s="10">
        <f>L55-M55</f>
        <v>1.9999999785795808E-3</v>
      </c>
      <c r="O55" s="10">
        <f>N55/M55*100</f>
        <v>-8.9874813441998117E-6</v>
      </c>
      <c r="P55" s="10"/>
      <c r="Q55" s="10">
        <f>'[8]financial profile(mcso)'!AA145</f>
        <v>-1.5600000042468309E-3</v>
      </c>
      <c r="R55" s="10">
        <f>[3]REG12!Q55</f>
        <v>-4.5600000012200326E-3</v>
      </c>
      <c r="S55" s="10">
        <f>Q55-R55</f>
        <v>2.9999999969732016E-3</v>
      </c>
      <c r="T55" s="10">
        <f>S55/R55*100</f>
        <v>-65.789473600231332</v>
      </c>
      <c r="U55" s="10"/>
      <c r="V55" s="10">
        <f>'[8]financial profile(mcso)'!AB145</f>
        <v>-220.0135768679902</v>
      </c>
      <c r="W55" s="10">
        <f>[3]REG12!V55</f>
        <v>-2.7065599999623373</v>
      </c>
      <c r="X55" s="10">
        <f>V55-W55</f>
        <v>-217.30701686802786</v>
      </c>
      <c r="Y55" s="10">
        <f t="shared" si="17"/>
        <v>8028.9007770399239</v>
      </c>
      <c r="Z55" s="10"/>
      <c r="AA55" s="10">
        <f>B55+G55+L55+Q55+V55</f>
        <v>-41590.754936868034</v>
      </c>
      <c r="AB55" s="10">
        <f>C55+H55+M55+R55+W55</f>
        <v>-41373.452919999952</v>
      </c>
      <c r="AC55" s="10">
        <f>AA55-AB55</f>
        <v>-217.30201686808141</v>
      </c>
      <c r="AD55" s="10">
        <f>AC55/AB55*100</f>
        <v>0.5252208881097219</v>
      </c>
      <c r="AE55"/>
      <c r="AF55"/>
      <c r="AG55"/>
      <c r="AH55"/>
    </row>
    <row r="56" spans="1:40" ht="15" customHeight="1" x14ac:dyDescent="0.2">
      <c r="A56" s="9" t="s">
        <v>49</v>
      </c>
      <c r="B56" s="10">
        <f>'[8]financial profile(mcso)'!X146</f>
        <v>-6185.151340000004</v>
      </c>
      <c r="C56" s="10">
        <f>[3]REG12!B56</f>
        <v>-2000.2543400000002</v>
      </c>
      <c r="D56" s="10">
        <f>B56-C56</f>
        <v>-4184.8970000000036</v>
      </c>
      <c r="E56" s="10">
        <f>D56/C56*100</f>
        <v>209.21824371594678</v>
      </c>
      <c r="F56" s="10"/>
      <c r="G56" s="10">
        <f>'[8]financial profile(mcso)'!Y146</f>
        <v>-2568.7970000000018</v>
      </c>
      <c r="H56" s="10">
        <f>[3]REG12!G56</f>
        <v>890.03399999999999</v>
      </c>
      <c r="I56" s="10">
        <f>G56-H56</f>
        <v>-3458.8310000000019</v>
      </c>
      <c r="J56" s="10">
        <f>I56/H56*100</f>
        <v>-388.61785055402402</v>
      </c>
      <c r="K56" s="10"/>
      <c r="L56" s="10">
        <f>'[8]financial profile(mcso)'!Z146</f>
        <v>91940.941750000013</v>
      </c>
      <c r="M56" s="10">
        <f>[3]REG12!L56</f>
        <v>100038.99575</v>
      </c>
      <c r="N56" s="10">
        <f>L56-M56</f>
        <v>-8098.0539999999892</v>
      </c>
      <c r="O56" s="10">
        <f>N56/M56*100</f>
        <v>-8.0948973340728365</v>
      </c>
      <c r="P56" s="10"/>
      <c r="Q56" s="10">
        <f>'[8]financial profile(mcso)'!AA146</f>
        <v>-1.5599999995902182E-3</v>
      </c>
      <c r="R56" s="10">
        <f>[3]REG12!Q56</f>
        <v>6819.8754400000007</v>
      </c>
      <c r="S56" s="10">
        <f>Q56-R56</f>
        <v>-6819.8770000000004</v>
      </c>
      <c r="T56" s="10">
        <f>S56/R56*100</f>
        <v>-100.00002287431806</v>
      </c>
      <c r="U56" s="10"/>
      <c r="V56" s="10">
        <f>'[8]financial profile(mcso)'!AB146</f>
        <v>167552.56413313205</v>
      </c>
      <c r="W56" s="10">
        <f>[3]REG12!V56</f>
        <v>142713.14566000001</v>
      </c>
      <c r="X56" s="10">
        <f>V56-W56</f>
        <v>24839.418473132042</v>
      </c>
      <c r="Y56" s="10">
        <f>X56/W56*100</f>
        <v>17.405136967767152</v>
      </c>
      <c r="Z56" s="10"/>
      <c r="AA56" s="10">
        <f>B56+G56+L56+Q56+V56</f>
        <v>250739.55598313204</v>
      </c>
      <c r="AB56" s="10">
        <f>C56+H56+M56+R56+W56</f>
        <v>248461.79651000001</v>
      </c>
      <c r="AC56" s="10">
        <f>AA56-AB56</f>
        <v>2277.7594731320278</v>
      </c>
      <c r="AD56" s="10">
        <f>AC56/AB56*100</f>
        <v>0.91674434666673321</v>
      </c>
      <c r="AE56"/>
      <c r="AF56"/>
      <c r="AG56"/>
      <c r="AH56"/>
    </row>
    <row r="57" spans="1:40" ht="15" customHeight="1" x14ac:dyDescent="0.2">
      <c r="A57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/>
      <c r="AF57"/>
      <c r="AG57"/>
      <c r="AH57"/>
    </row>
    <row r="58" spans="1:40" ht="15.75" x14ac:dyDescent="0.25">
      <c r="A58" s="1" t="s">
        <v>50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/>
      <c r="AF58"/>
      <c r="AG58"/>
      <c r="AH58"/>
    </row>
    <row r="59" spans="1:40" ht="9.9499999999999993" customHeight="1" x14ac:dyDescent="0.2">
      <c r="A5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/>
      <c r="AF59"/>
      <c r="AG59"/>
      <c r="AH59"/>
    </row>
    <row r="60" spans="1:40" ht="15" customHeight="1" x14ac:dyDescent="0.2">
      <c r="A60" s="9" t="s">
        <v>51</v>
      </c>
      <c r="B60" s="10">
        <v>249110</v>
      </c>
      <c r="C60" s="10">
        <v>217896</v>
      </c>
      <c r="D60" s="10">
        <f>B60-C60</f>
        <v>31214</v>
      </c>
      <c r="E60" s="10">
        <f>D60/C60*100</f>
        <v>14.325182655945955</v>
      </c>
      <c r="F60" s="10"/>
      <c r="G60" s="10">
        <v>119224</v>
      </c>
      <c r="H60" s="10">
        <v>101736</v>
      </c>
      <c r="I60" s="10">
        <f>G60-H60</f>
        <v>17488</v>
      </c>
      <c r="J60" s="10">
        <f>I60/H60*100</f>
        <v>17.189588739482584</v>
      </c>
      <c r="K60" s="10"/>
      <c r="L60" s="10">
        <v>298427</v>
      </c>
      <c r="M60" s="10">
        <v>251280</v>
      </c>
      <c r="N60" s="10">
        <f>L60-M60</f>
        <v>47147</v>
      </c>
      <c r="O60" s="10">
        <f>N60/M60*100</f>
        <v>18.762734797835083</v>
      </c>
      <c r="P60" s="10"/>
      <c r="Q60" s="10">
        <v>986558</v>
      </c>
      <c r="R60" s="10">
        <v>898464</v>
      </c>
      <c r="S60" s="10">
        <f>Q60-R60</f>
        <v>88094</v>
      </c>
      <c r="T60" s="10">
        <f>S60/R60*100</f>
        <v>9.8049560138191403</v>
      </c>
      <c r="U60" s="10"/>
      <c r="V60" s="10">
        <v>228432</v>
      </c>
      <c r="W60" s="10">
        <v>198288</v>
      </c>
      <c r="X60" s="10">
        <f>V60-W60</f>
        <v>30144</v>
      </c>
      <c r="Y60" s="10">
        <f>X60/W60*100</f>
        <v>15.202130234809974</v>
      </c>
      <c r="Z60" s="10"/>
      <c r="AA60" s="10">
        <f t="shared" ref="AA60:AB62" si="18">+B60+L60+Q60+V60+G60</f>
        <v>1881751</v>
      </c>
      <c r="AB60" s="10">
        <f t="shared" si="18"/>
        <v>1667664</v>
      </c>
      <c r="AC60" s="10">
        <f>AA60-AB60</f>
        <v>214087</v>
      </c>
      <c r="AD60" s="10">
        <f>AC60/AB60*100</f>
        <v>12.837538017250477</v>
      </c>
      <c r="AE60" s="19"/>
      <c r="AF60" s="19"/>
      <c r="AG60" s="19"/>
      <c r="AH60" s="19"/>
    </row>
    <row r="61" spans="1:40" ht="15" customHeight="1" x14ac:dyDescent="0.2">
      <c r="A61" s="9" t="s">
        <v>52</v>
      </c>
      <c r="B61" s="10">
        <v>223782</v>
      </c>
      <c r="C61" s="10">
        <v>195990</v>
      </c>
      <c r="D61" s="10">
        <f>B61-C61</f>
        <v>27792</v>
      </c>
      <c r="E61" s="10">
        <f>D61/C61*100</f>
        <v>14.180315322210316</v>
      </c>
      <c r="F61" s="10"/>
      <c r="G61" s="10">
        <v>99124</v>
      </c>
      <c r="H61" s="10">
        <v>90346</v>
      </c>
      <c r="I61" s="10">
        <f>G61-H61</f>
        <v>8778</v>
      </c>
      <c r="J61" s="10">
        <f>I61/H61*100</f>
        <v>9.7159807849821789</v>
      </c>
      <c r="K61" s="10"/>
      <c r="L61" s="10">
        <v>260856</v>
      </c>
      <c r="M61" s="10">
        <v>224961</v>
      </c>
      <c r="N61" s="10">
        <f>L61-M61</f>
        <v>35895</v>
      </c>
      <c r="O61" s="10">
        <f>N61/M61*100</f>
        <v>15.95609905716991</v>
      </c>
      <c r="P61" s="10"/>
      <c r="Q61" s="10">
        <v>866079</v>
      </c>
      <c r="R61" s="10">
        <v>784606</v>
      </c>
      <c r="S61" s="10">
        <f>Q61-R61</f>
        <v>81473</v>
      </c>
      <c r="T61" s="10">
        <f>S61/R61*100</f>
        <v>10.383937925532051</v>
      </c>
      <c r="U61" s="10"/>
      <c r="V61" s="10">
        <v>207522</v>
      </c>
      <c r="W61" s="10">
        <v>179901</v>
      </c>
      <c r="X61" s="10">
        <f>V61-W61</f>
        <v>27621</v>
      </c>
      <c r="Y61" s="10">
        <f>X61/W61*100</f>
        <v>15.353444394416929</v>
      </c>
      <c r="Z61" s="10"/>
      <c r="AA61" s="10">
        <f t="shared" si="18"/>
        <v>1657363</v>
      </c>
      <c r="AB61" s="10">
        <f t="shared" si="18"/>
        <v>1475804</v>
      </c>
      <c r="AC61" s="10">
        <f>AA61-AB61</f>
        <v>181559</v>
      </c>
      <c r="AD61" s="10">
        <f>AC61/AB61*100</f>
        <v>12.302378906684087</v>
      </c>
      <c r="AE61" s="19"/>
      <c r="AF61" s="19"/>
      <c r="AG61" s="19"/>
      <c r="AH61" s="19"/>
    </row>
    <row r="62" spans="1:40" ht="15" customHeight="1" x14ac:dyDescent="0.2">
      <c r="A62" s="9" t="s">
        <v>53</v>
      </c>
      <c r="B62" s="10">
        <v>414</v>
      </c>
      <c r="C62" s="10">
        <v>402</v>
      </c>
      <c r="D62" s="10">
        <f>B62-C62</f>
        <v>12</v>
      </c>
      <c r="E62" s="10">
        <f>D62/C62*100</f>
        <v>2.9850746268656714</v>
      </c>
      <c r="F62" s="10"/>
      <c r="G62" s="10">
        <v>0</v>
      </c>
      <c r="H62" s="10">
        <v>119</v>
      </c>
      <c r="I62" s="10">
        <f>G62-H62</f>
        <v>-119</v>
      </c>
      <c r="J62" s="10">
        <f>I62/H62*100</f>
        <v>-100</v>
      </c>
      <c r="K62" s="10"/>
      <c r="L62" s="10">
        <v>371</v>
      </c>
      <c r="M62" s="10">
        <v>346</v>
      </c>
      <c r="N62" s="10">
        <f>L62-M62</f>
        <v>25</v>
      </c>
      <c r="O62" s="10">
        <f>N62/M62*100</f>
        <v>7.2254335260115612</v>
      </c>
      <c r="P62" s="10"/>
      <c r="Q62" s="10">
        <v>557</v>
      </c>
      <c r="R62" s="10">
        <v>488</v>
      </c>
      <c r="S62" s="10">
        <f>Q62-R62</f>
        <v>69</v>
      </c>
      <c r="T62" s="10">
        <f>S62/R62*100</f>
        <v>14.139344262295081</v>
      </c>
      <c r="U62" s="10"/>
      <c r="V62" s="10">
        <v>550</v>
      </c>
      <c r="W62" s="10">
        <v>520</v>
      </c>
      <c r="X62" s="10">
        <f>V62-W62</f>
        <v>30</v>
      </c>
      <c r="Y62" s="10">
        <f>X62/W62*100</f>
        <v>5.7692307692307692</v>
      </c>
      <c r="Z62" s="10"/>
      <c r="AA62" s="10">
        <f t="shared" si="18"/>
        <v>1892</v>
      </c>
      <c r="AB62" s="10">
        <f t="shared" si="18"/>
        <v>1875</v>
      </c>
      <c r="AC62" s="10">
        <f>AA62-AB62</f>
        <v>17</v>
      </c>
      <c r="AD62" s="10">
        <f>AC62/AB62*100</f>
        <v>0.90666666666666673</v>
      </c>
      <c r="AE62" s="19"/>
      <c r="AF62" s="19"/>
      <c r="AG62" s="19"/>
      <c r="AH62" s="19"/>
    </row>
    <row r="63" spans="1:40" s="22" customFormat="1" ht="15" customHeight="1" x14ac:dyDescent="0.2">
      <c r="A63" s="20" t="s">
        <v>54</v>
      </c>
      <c r="B63" s="16">
        <f>SUM(B60-B61-B62)/B60*100</f>
        <v>10.001204287262656</v>
      </c>
      <c r="C63" s="16">
        <f>SUM(C60-C61-C62)/C60*100</f>
        <v>9.8689282960678479</v>
      </c>
      <c r="D63" s="16"/>
      <c r="E63" s="16">
        <f>B63-C63</f>
        <v>0.13227599119480793</v>
      </c>
      <c r="F63" s="16"/>
      <c r="G63" s="16">
        <f>SUM(G60-G61-G62)/G60*100</f>
        <v>16.859021673488559</v>
      </c>
      <c r="H63" s="16">
        <f>SUM(H60-H61-H62)/H60*100</f>
        <v>11.078674215616891</v>
      </c>
      <c r="I63" s="16"/>
      <c r="J63" s="16">
        <f>G63-H63</f>
        <v>5.7803474578716685</v>
      </c>
      <c r="K63" s="16"/>
      <c r="L63" s="16">
        <f>SUM(L60-L61-L62)/L60*100</f>
        <v>12.465360037798188</v>
      </c>
      <c r="M63" s="16">
        <f>SUM(M60-M61-M62)/M60*100</f>
        <v>10.336278255332697</v>
      </c>
      <c r="N63" s="16"/>
      <c r="O63" s="16">
        <f>L63-M63</f>
        <v>2.1290817824654908</v>
      </c>
      <c r="P63" s="16"/>
      <c r="Q63" s="16">
        <f>SUM(Q60-Q61-Q62)/Q60*100</f>
        <v>12.15559551491144</v>
      </c>
      <c r="R63" s="16">
        <f>SUM(R60-R61-R62)/R60*100</f>
        <v>12.618201730954162</v>
      </c>
      <c r="S63" s="16"/>
      <c r="T63" s="16">
        <f>Q63-R63</f>
        <v>-0.46260621604272245</v>
      </c>
      <c r="U63" s="16"/>
      <c r="V63" s="16">
        <f>SUM(V60-V61-V62)/V60*100</f>
        <v>8.9129368915038167</v>
      </c>
      <c r="W63" s="16">
        <f>SUM(W60-W61-W62)/W60*100</f>
        <v>9.0106310013717419</v>
      </c>
      <c r="X63" s="16"/>
      <c r="Y63" s="16">
        <f>V63-W63</f>
        <v>-9.769410986792515E-2</v>
      </c>
      <c r="Z63" s="16"/>
      <c r="AA63" s="16">
        <f>SUM(AA60-AA61-AA62)/AA60*100</f>
        <v>11.823881055463767</v>
      </c>
      <c r="AB63" s="16">
        <f>SUM(AB60-AB61-AB62)/AB60*100</f>
        <v>11.392282857937811</v>
      </c>
      <c r="AC63" s="16"/>
      <c r="AD63" s="16">
        <f>AA63-AB63</f>
        <v>0.43159819752595574</v>
      </c>
      <c r="AE63" s="21"/>
      <c r="AG63" s="21"/>
      <c r="AH63" s="21"/>
    </row>
    <row r="64" spans="1:40" ht="15" customHeight="1" x14ac:dyDescent="0.2">
      <c r="A64" s="9" t="s">
        <v>55</v>
      </c>
      <c r="B64" s="16">
        <f>B13/B61</f>
        <v>10.89468371401632</v>
      </c>
      <c r="C64" s="16">
        <f>C13/C61</f>
        <v>12.678404237257002</v>
      </c>
      <c r="D64" s="10">
        <f>B64-C64</f>
        <v>-1.7837205232406816</v>
      </c>
      <c r="E64" s="10">
        <f>D64/C64*100</f>
        <v>-14.068967118109441</v>
      </c>
      <c r="F64" s="10"/>
      <c r="G64" s="16">
        <f>G13/G61</f>
        <v>9.595761799765949</v>
      </c>
      <c r="H64" s="16">
        <f>H13/H61</f>
        <v>12.728204582051225</v>
      </c>
      <c r="I64" s="10">
        <f>G64-H64</f>
        <v>-3.1324427822852758</v>
      </c>
      <c r="J64" s="10">
        <f>I64/H64*100</f>
        <v>-24.610248539707744</v>
      </c>
      <c r="K64" s="10"/>
      <c r="L64" s="16">
        <f>L13/L61</f>
        <v>10.958995642040053</v>
      </c>
      <c r="M64" s="16">
        <f>M13/M61</f>
        <v>14.264015415249753</v>
      </c>
      <c r="N64" s="10">
        <f>L64-M64</f>
        <v>-3.3050197732097004</v>
      </c>
      <c r="O64" s="10">
        <f>N64/M64*100</f>
        <v>-23.170332315234894</v>
      </c>
      <c r="P64" s="10"/>
      <c r="Q64" s="16">
        <f>Q13/Q61</f>
        <v>9.3169474647001014</v>
      </c>
      <c r="R64" s="16">
        <f>R13/R61</f>
        <v>9.5575624306467208</v>
      </c>
      <c r="S64" s="10">
        <f>Q64-R64</f>
        <v>-0.24061496594661946</v>
      </c>
      <c r="T64" s="10">
        <f>S64/R64*100</f>
        <v>-2.5175348598830762</v>
      </c>
      <c r="U64" s="10"/>
      <c r="V64" s="16">
        <f>V13/V61</f>
        <v>9.7790340147068751</v>
      </c>
      <c r="W64" s="16">
        <f>W13/W61</f>
        <v>11.491952023112713</v>
      </c>
      <c r="X64" s="10">
        <f>V64-W64</f>
        <v>-1.712918008405838</v>
      </c>
      <c r="Y64" s="10">
        <f>X64/W64*100</f>
        <v>-14.905370340572277</v>
      </c>
      <c r="Z64" s="10"/>
      <c r="AA64" s="16">
        <f>AA13/AA61</f>
        <v>9.8629578497951265</v>
      </c>
      <c r="AB64" s="16">
        <f>AB13/AB61</f>
        <v>11.119338664775267</v>
      </c>
      <c r="AC64" s="10">
        <f>AA64-AB64</f>
        <v>-1.2563808149801403</v>
      </c>
      <c r="AD64" s="10">
        <f>AC64/AB64*100</f>
        <v>-11.299060608345389</v>
      </c>
      <c r="AE64" s="19"/>
      <c r="AF64" s="19"/>
      <c r="AG64" s="19"/>
      <c r="AH64" s="19"/>
    </row>
    <row r="65" spans="1:34" ht="15" customHeight="1" x14ac:dyDescent="0.2">
      <c r="A65" s="9" t="s">
        <v>56</v>
      </c>
      <c r="B65" s="16">
        <f>B22/B60</f>
        <v>7.2272126120589304</v>
      </c>
      <c r="C65" s="16">
        <f>C22/C60</f>
        <v>8.6623047419411083</v>
      </c>
      <c r="D65" s="10">
        <f>B65-C65</f>
        <v>-1.4350921298821779</v>
      </c>
      <c r="E65" s="10">
        <f>D65/C65*100</f>
        <v>-16.567093546521807</v>
      </c>
      <c r="F65" s="10"/>
      <c r="G65" s="16">
        <f>G22/G60</f>
        <v>6.3441040908709665</v>
      </c>
      <c r="H65" s="16">
        <f>H22/H60</f>
        <v>9.0113067796060378</v>
      </c>
      <c r="I65" s="10">
        <f>G65-H65</f>
        <v>-2.6672026887350713</v>
      </c>
      <c r="J65" s="10">
        <f>I65/H65*100</f>
        <v>-29.598400697791778</v>
      </c>
      <c r="K65" s="10"/>
      <c r="L65" s="16">
        <f>L22/L60</f>
        <v>7.0683322356221119</v>
      </c>
      <c r="M65" s="16">
        <f>M22/M60</f>
        <v>9.9408710795526893</v>
      </c>
      <c r="N65" s="10">
        <f>L65-M65</f>
        <v>-2.8725388439305775</v>
      </c>
      <c r="O65" s="10">
        <f>N65/M65*100</f>
        <v>-28.896248839189585</v>
      </c>
      <c r="P65" s="10"/>
      <c r="Q65" s="16">
        <f>Q22/Q60</f>
        <v>6.6826310292856572</v>
      </c>
      <c r="R65" s="16">
        <f>R22/R60</f>
        <v>6.8242307014749617</v>
      </c>
      <c r="S65" s="10">
        <f>Q65-R65</f>
        <v>-0.14159967218930447</v>
      </c>
      <c r="T65" s="10">
        <f>S65/R65*100</f>
        <v>-2.0749543557884067</v>
      </c>
      <c r="U65" s="10"/>
      <c r="V65" s="16">
        <f>V22/V60</f>
        <v>6.5398886529470479</v>
      </c>
      <c r="W65" s="16">
        <f>W22/W60</f>
        <v>7.4851196686637609</v>
      </c>
      <c r="X65" s="10">
        <f>V65-W65</f>
        <v>-0.94523101571671297</v>
      </c>
      <c r="Y65" s="10">
        <f>X65/W65*100</f>
        <v>-12.628134987258729</v>
      </c>
      <c r="Z65" s="10"/>
      <c r="AA65" s="16">
        <f>AA22/AA60</f>
        <v>6.7771158520760713</v>
      </c>
      <c r="AB65" s="16">
        <f>AB22/AB60</f>
        <v>7.7460045712325751</v>
      </c>
      <c r="AC65" s="10">
        <f>AA65-AB65</f>
        <v>-0.96888871915650387</v>
      </c>
      <c r="AD65" s="10">
        <f>AC65/AB65*100</f>
        <v>-12.508238411771689</v>
      </c>
      <c r="AE65" s="19"/>
      <c r="AF65" s="19"/>
      <c r="AG65" s="19"/>
      <c r="AH65" s="19"/>
    </row>
    <row r="66" spans="1:34" ht="15" hidden="1" customHeight="1" x14ac:dyDescent="0.2">
      <c r="A66" s="9" t="s">
        <v>57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4"/>
      <c r="AC66" s="10"/>
      <c r="AD66" s="10"/>
      <c r="AE66" s="19"/>
      <c r="AG66" s="19"/>
      <c r="AH66" s="19"/>
    </row>
    <row r="67" spans="1:34" s="22" customFormat="1" ht="15" customHeight="1" x14ac:dyDescent="0.2">
      <c r="A67" s="20" t="s">
        <v>58</v>
      </c>
      <c r="B67" s="23">
        <f>+$C$79</f>
        <v>98.064550807249304</v>
      </c>
      <c r="C67" s="23">
        <f>[10]REG12!B67</f>
        <v>97.41</v>
      </c>
      <c r="D67" s="23"/>
      <c r="E67" s="23">
        <f>B67-C67</f>
        <v>0.65455080724930781</v>
      </c>
      <c r="F67" s="23"/>
      <c r="G67" s="23">
        <f>+$C$80</f>
        <v>97.636077413140981</v>
      </c>
      <c r="H67" s="24" t="str">
        <f>[10]REG12!G67</f>
        <v>100</v>
      </c>
      <c r="I67" s="23"/>
      <c r="J67" s="23">
        <f>G67-H67</f>
        <v>-2.3639225868590188</v>
      </c>
      <c r="K67" s="23"/>
      <c r="L67" s="23">
        <f>+$C$81</f>
        <v>98.41020190914989</v>
      </c>
      <c r="M67" s="23">
        <f>[10]REG12!L67</f>
        <v>99.47</v>
      </c>
      <c r="N67" s="23"/>
      <c r="O67" s="23">
        <f>L67-M67</f>
        <v>-1.0597980908501086</v>
      </c>
      <c r="P67" s="23"/>
      <c r="Q67" s="23">
        <f>+$C$82</f>
        <v>94.170161077402895</v>
      </c>
      <c r="R67" s="23">
        <f>[10]REG12!Q67</f>
        <v>97.43</v>
      </c>
      <c r="S67" s="23"/>
      <c r="T67" s="23">
        <f>Q67-R67</f>
        <v>-3.2598389225971118</v>
      </c>
      <c r="U67" s="23"/>
      <c r="V67" s="23">
        <f>+$C$83</f>
        <v>100</v>
      </c>
      <c r="W67" s="23">
        <f>[10]REG12!V67</f>
        <v>91.6</v>
      </c>
      <c r="X67" s="23"/>
      <c r="Y67" s="23">
        <f>V67-W67</f>
        <v>8.4000000000000057</v>
      </c>
      <c r="Z67" s="23"/>
      <c r="AA67" s="23">
        <f>(B67+G67+L67+Q67+V67)/5</f>
        <v>97.656198241388623</v>
      </c>
      <c r="AB67" s="23">
        <f>(C67+H67+M67+R67+W67)/5</f>
        <v>97.181999999999988</v>
      </c>
      <c r="AC67" s="23"/>
      <c r="AD67" s="23">
        <f>AA67-AB67</f>
        <v>0.47419824138863476</v>
      </c>
    </row>
    <row r="68" spans="1:34" ht="15" customHeight="1" x14ac:dyDescent="0.2">
      <c r="A68" s="9" t="s">
        <v>59</v>
      </c>
      <c r="B68" s="10">
        <v>179515</v>
      </c>
      <c r="C68" s="10">
        <v>176425</v>
      </c>
      <c r="D68" s="10">
        <f>B68-C68</f>
        <v>3090</v>
      </c>
      <c r="E68" s="10">
        <f>D68/C68*100</f>
        <v>1.7514524585517925</v>
      </c>
      <c r="F68" s="10"/>
      <c r="G68" s="10">
        <v>89549</v>
      </c>
      <c r="H68" s="10">
        <v>89127</v>
      </c>
      <c r="I68" s="10">
        <f>G68-H68</f>
        <v>422</v>
      </c>
      <c r="J68" s="10">
        <f>I68/H68*100</f>
        <v>0.47348166100059469</v>
      </c>
      <c r="K68" s="10"/>
      <c r="L68" s="10">
        <v>138961</v>
      </c>
      <c r="M68" s="10">
        <v>134697</v>
      </c>
      <c r="N68" s="10">
        <f>L68-M68</f>
        <v>4264</v>
      </c>
      <c r="O68" s="10">
        <f>N68/M68*100</f>
        <v>3.1656235847865948</v>
      </c>
      <c r="P68" s="10"/>
      <c r="Q68" s="10">
        <v>246797</v>
      </c>
      <c r="R68" s="10">
        <v>239070</v>
      </c>
      <c r="S68" s="10">
        <f>Q68-R68</f>
        <v>7727</v>
      </c>
      <c r="T68" s="10">
        <f>S68/R68*100</f>
        <v>3.2321077508679465</v>
      </c>
      <c r="U68" s="10"/>
      <c r="V68" s="10">
        <v>150334</v>
      </c>
      <c r="W68" s="10">
        <v>147759</v>
      </c>
      <c r="X68" s="10">
        <f>V68-W68</f>
        <v>2575</v>
      </c>
      <c r="Y68" s="10">
        <f>X68/W68*100</f>
        <v>1.7427026441705751</v>
      </c>
      <c r="Z68" s="10"/>
      <c r="AA68" s="10">
        <f>+B68+L68+Q68+V68+G68</f>
        <v>805156</v>
      </c>
      <c r="AB68" s="10">
        <f>+C68+M68+R68+W68+H68</f>
        <v>787078</v>
      </c>
      <c r="AC68" s="10">
        <f>AA68-AB68</f>
        <v>18078</v>
      </c>
      <c r="AD68" s="10">
        <f>AC68/AB68*100</f>
        <v>2.2968498674845441</v>
      </c>
      <c r="AE68" s="19"/>
      <c r="AF68" s="19"/>
      <c r="AG68" s="19"/>
      <c r="AH68" s="19"/>
    </row>
    <row r="69" spans="1:34" ht="15" customHeight="1" x14ac:dyDescent="0.2">
      <c r="A69" s="9" t="s">
        <v>60</v>
      </c>
      <c r="B69" s="10">
        <v>303</v>
      </c>
      <c r="C69" s="10">
        <v>311</v>
      </c>
      <c r="D69" s="10">
        <f>B69-C69</f>
        <v>-8</v>
      </c>
      <c r="E69" s="10">
        <f>D69/C69*100</f>
        <v>-2.572347266881029</v>
      </c>
      <c r="F69" s="10"/>
      <c r="G69" s="10">
        <v>90</v>
      </c>
      <c r="H69" s="10">
        <v>87</v>
      </c>
      <c r="I69" s="10">
        <f>G69-H69</f>
        <v>3</v>
      </c>
      <c r="J69" s="10">
        <f>I69/H69*100</f>
        <v>3.4482758620689653</v>
      </c>
      <c r="K69" s="10"/>
      <c r="L69" s="10">
        <v>223</v>
      </c>
      <c r="M69" s="10">
        <v>201</v>
      </c>
      <c r="N69" s="10">
        <f>L69-M69</f>
        <v>22</v>
      </c>
      <c r="O69" s="10">
        <f>N69/M69*100</f>
        <v>10.945273631840797</v>
      </c>
      <c r="P69" s="10"/>
      <c r="Q69" s="10">
        <v>218</v>
      </c>
      <c r="R69" s="10">
        <v>207</v>
      </c>
      <c r="S69" s="10">
        <f>Q69-R69</f>
        <v>11</v>
      </c>
      <c r="T69" s="10">
        <f>S69/R69*100</f>
        <v>5.3140096618357484</v>
      </c>
      <c r="U69" s="10"/>
      <c r="V69" s="10">
        <v>219</v>
      </c>
      <c r="W69" s="10">
        <v>209</v>
      </c>
      <c r="X69" s="10">
        <f>V69-W69</f>
        <v>10</v>
      </c>
      <c r="Y69" s="10">
        <f>X69/W69*100</f>
        <v>4.7846889952153111</v>
      </c>
      <c r="Z69" s="10"/>
      <c r="AA69" s="10">
        <f>+B69+L69+Q69+V69+G69</f>
        <v>1053</v>
      </c>
      <c r="AB69" s="10">
        <f>+C69+M69+R69+W69+H69</f>
        <v>1015</v>
      </c>
      <c r="AC69" s="10">
        <f>AA69-AB69</f>
        <v>38</v>
      </c>
      <c r="AD69" s="10">
        <f>AC69/AB69*100</f>
        <v>3.74384236453202</v>
      </c>
      <c r="AE69" s="19"/>
      <c r="AF69" s="19"/>
      <c r="AG69" s="19"/>
      <c r="AH69" s="19"/>
    </row>
    <row r="70" spans="1:34" ht="15" customHeight="1" x14ac:dyDescent="0.2">
      <c r="A70" s="9" t="s">
        <v>61</v>
      </c>
      <c r="B70" s="10">
        <f>B68/B69</f>
        <v>592.45874587458741</v>
      </c>
      <c r="C70" s="10">
        <f>C68/C69</f>
        <v>567.28295819935693</v>
      </c>
      <c r="D70" s="10">
        <f>B70-C70</f>
        <v>25.175787675230481</v>
      </c>
      <c r="E70" s="10">
        <f>D70/C70*100</f>
        <v>4.4379594541571086</v>
      </c>
      <c r="F70" s="10"/>
      <c r="G70" s="10">
        <f>G68/G69</f>
        <v>994.98888888888894</v>
      </c>
      <c r="H70" s="10">
        <f>H68/H69</f>
        <v>1024.4482758620691</v>
      </c>
      <c r="I70" s="10">
        <f>G70-H70</f>
        <v>-29.459386973180131</v>
      </c>
      <c r="J70" s="10">
        <f>I70/H70*100</f>
        <v>-2.8756343943660969</v>
      </c>
      <c r="K70" s="10"/>
      <c r="L70" s="10">
        <f>L68/L69</f>
        <v>623.14349775784751</v>
      </c>
      <c r="M70" s="10">
        <f>M68/M69</f>
        <v>670.1343283582089</v>
      </c>
      <c r="N70" s="10">
        <f>L70-M70</f>
        <v>-46.990830600361392</v>
      </c>
      <c r="O70" s="10">
        <f>N70/M70*100</f>
        <v>-7.0121509392730648</v>
      </c>
      <c r="P70" s="10"/>
      <c r="Q70" s="10">
        <f>Q68/Q69</f>
        <v>1132.0963302752293</v>
      </c>
      <c r="R70" s="10">
        <f>R68/R69</f>
        <v>1154.927536231884</v>
      </c>
      <c r="S70" s="10">
        <f>Q70-R70</f>
        <v>-22.831205956654685</v>
      </c>
      <c r="T70" s="10">
        <f>S70/R70*100</f>
        <v>-1.97685181454282</v>
      </c>
      <c r="U70" s="10"/>
      <c r="V70" s="10">
        <f>V68/V69</f>
        <v>686.45662100456616</v>
      </c>
      <c r="W70" s="10">
        <f>W68/W69</f>
        <v>706.98086124401914</v>
      </c>
      <c r="X70" s="10">
        <f>V70-W70</f>
        <v>-20.524240239452979</v>
      </c>
      <c r="Y70" s="10">
        <f>X70/W70*100</f>
        <v>-2.9030828646956683</v>
      </c>
      <c r="Z70" s="10"/>
      <c r="AA70" s="10">
        <f>AA68/AA69</f>
        <v>764.63057929724596</v>
      </c>
      <c r="AB70" s="10">
        <f>AB68/AB69</f>
        <v>775.44630541871925</v>
      </c>
      <c r="AC70" s="10">
        <f>AA70-AB70</f>
        <v>-10.81572612147329</v>
      </c>
      <c r="AD70" s="10">
        <f>AC70/AB70*100</f>
        <v>-1.3947743442575435</v>
      </c>
      <c r="AE70" s="19"/>
      <c r="AF70" s="19"/>
      <c r="AG70" s="19"/>
      <c r="AH70" s="19"/>
    </row>
    <row r="71" spans="1:34" ht="15" customHeight="1" x14ac:dyDescent="0.2">
      <c r="A71" s="9" t="s">
        <v>62</v>
      </c>
      <c r="B71" s="10">
        <f>(1000*B24)/B68</f>
        <v>1555.8315275046655</v>
      </c>
      <c r="C71" s="10">
        <f>(1000*C24)/C68</f>
        <v>1502.7337163100469</v>
      </c>
      <c r="D71" s="10">
        <f>B71-C71</f>
        <v>53.097811194618544</v>
      </c>
      <c r="E71" s="10">
        <f>D71/C71*100</f>
        <v>3.5334145110552178</v>
      </c>
      <c r="F71" s="10"/>
      <c r="G71" s="10">
        <f>(1000*G24)/G68</f>
        <v>1089.0956556745468</v>
      </c>
      <c r="H71" s="10">
        <f>(1000*H24)/H68</f>
        <v>1111.0746217195688</v>
      </c>
      <c r="I71" s="10">
        <f>G71-H71</f>
        <v>-21.978966045021934</v>
      </c>
      <c r="J71" s="10">
        <f>I71/H71*100</f>
        <v>-1.9781719081123379</v>
      </c>
      <c r="K71" s="10"/>
      <c r="L71" s="10">
        <f>(1000*L24)/L68</f>
        <v>1632.4559495110138</v>
      </c>
      <c r="M71" s="10">
        <f>(1000*M24)/M68</f>
        <v>1434.0420998982904</v>
      </c>
      <c r="N71" s="10">
        <f>L71-M71</f>
        <v>198.41384961272342</v>
      </c>
      <c r="O71" s="10">
        <f>N71/M71*100</f>
        <v>13.835984984457287</v>
      </c>
      <c r="P71" s="10"/>
      <c r="Q71" s="10">
        <f>(1000*Q24)/Q68</f>
        <v>1611.6839145937754</v>
      </c>
      <c r="R71" s="10">
        <f>(1000*R24)/R68</f>
        <v>1444.7793040950351</v>
      </c>
      <c r="S71" s="10">
        <f>Q71-R71</f>
        <v>166.90461049874034</v>
      </c>
      <c r="T71" s="10">
        <f>S71/R71*100</f>
        <v>11.552256460600688</v>
      </c>
      <c r="U71" s="10"/>
      <c r="V71" s="10">
        <f>(1000*V24)/V68</f>
        <v>1588.9900557425465</v>
      </c>
      <c r="W71" s="10">
        <f>(1000*W24)/W68</f>
        <v>1397.231394838893</v>
      </c>
      <c r="X71" s="10">
        <f>V71-W71</f>
        <v>191.75866090365344</v>
      </c>
      <c r="Y71" s="10">
        <f>X71/W71*100</f>
        <v>13.724187819710712</v>
      </c>
      <c r="Z71" s="10"/>
      <c r="AA71" s="10">
        <f>(1000*AA24)/AA68</f>
        <v>1540.4570304885017</v>
      </c>
      <c r="AB71" s="10">
        <f>(1000*AB24)/AB68</f>
        <v>1409.2181643242477</v>
      </c>
      <c r="AC71" s="10">
        <f>AA71-AB71</f>
        <v>131.23886616425398</v>
      </c>
      <c r="AD71" s="10">
        <f>AC71/AB71*100</f>
        <v>9.3128849376693932</v>
      </c>
      <c r="AE71" s="19"/>
      <c r="AF71" s="19"/>
    </row>
    <row r="72" spans="1:34" x14ac:dyDescent="0.2">
      <c r="A72" s="9" t="s">
        <v>63</v>
      </c>
      <c r="B72" s="10">
        <v>57615</v>
      </c>
      <c r="C72" s="10">
        <v>49116</v>
      </c>
      <c r="D72" s="10">
        <f>B72-C72</f>
        <v>8499</v>
      </c>
      <c r="E72" s="10">
        <f>D72/C72*100</f>
        <v>17.303933545076962</v>
      </c>
      <c r="F72" s="10"/>
      <c r="G72" s="10">
        <v>28481</v>
      </c>
      <c r="H72" s="10">
        <v>26228</v>
      </c>
      <c r="I72" s="10">
        <f>G72-H72</f>
        <v>2253</v>
      </c>
      <c r="J72" s="10">
        <f>I72/H72*100</f>
        <v>8.5900564282446243</v>
      </c>
      <c r="K72" s="10"/>
      <c r="L72" s="10">
        <v>72101</v>
      </c>
      <c r="M72" s="10">
        <v>64432</v>
      </c>
      <c r="N72" s="10">
        <f>L72-M72</f>
        <v>7669</v>
      </c>
      <c r="O72" s="10">
        <f>N72/M72*100</f>
        <v>11.902470821951825</v>
      </c>
      <c r="P72" s="10"/>
      <c r="Q72" s="10">
        <v>212030</v>
      </c>
      <c r="R72" s="10">
        <v>202027</v>
      </c>
      <c r="S72" s="10">
        <f>Q72-R72</f>
        <v>10003</v>
      </c>
      <c r="T72" s="10">
        <f>S72/R72*100</f>
        <v>4.9513183881362393</v>
      </c>
      <c r="U72" s="10"/>
      <c r="V72" s="10">
        <v>54131</v>
      </c>
      <c r="W72" s="10">
        <v>46010</v>
      </c>
      <c r="X72" s="10">
        <f>V72-W72</f>
        <v>8121</v>
      </c>
      <c r="Y72" s="10">
        <f>X72/W72*100</f>
        <v>17.650510758530753</v>
      </c>
      <c r="Z72" s="10"/>
      <c r="AA72" s="10">
        <f>+B72+L72+Q72+V72+G72</f>
        <v>424358</v>
      </c>
      <c r="AB72" s="10">
        <f>+C72+M72+R72+W72+H72</f>
        <v>387813</v>
      </c>
      <c r="AC72" s="15">
        <f>AA72-AB72</f>
        <v>36545</v>
      </c>
      <c r="AD72" s="10">
        <f>AC72/AB72*100</f>
        <v>9.4233561020388699</v>
      </c>
      <c r="AE72" s="19"/>
    </row>
    <row r="73" spans="1:34" x14ac:dyDescent="0.2">
      <c r="A73" s="2" t="s">
        <v>64</v>
      </c>
      <c r="B73" s="25" t="s">
        <v>65</v>
      </c>
      <c r="C73" s="25"/>
      <c r="D73" s="25"/>
      <c r="E73" s="25"/>
      <c r="F73" s="26"/>
      <c r="G73" s="25" t="s">
        <v>66</v>
      </c>
      <c r="H73" s="25"/>
      <c r="I73" s="25"/>
      <c r="J73" s="25"/>
      <c r="K73" s="23"/>
      <c r="L73" s="25" t="s">
        <v>65</v>
      </c>
      <c r="M73" s="25"/>
      <c r="N73" s="25"/>
      <c r="O73" s="25"/>
      <c r="P73" s="26"/>
      <c r="Q73" s="25" t="s">
        <v>65</v>
      </c>
      <c r="R73" s="25"/>
      <c r="S73" s="25"/>
      <c r="T73" s="25"/>
      <c r="U73" s="23"/>
      <c r="V73" s="25" t="s">
        <v>65</v>
      </c>
      <c r="W73" s="25"/>
      <c r="X73" s="25"/>
      <c r="Y73" s="25"/>
      <c r="Z73" s="26"/>
      <c r="AA73" s="23"/>
      <c r="AB73" s="23"/>
      <c r="AC73" s="23"/>
      <c r="AD73" s="23"/>
    </row>
    <row r="74" spans="1:34" ht="15" customHeight="1" x14ac:dyDescent="0.2">
      <c r="A74"/>
    </row>
    <row r="75" spans="1:34" x14ac:dyDescent="0.2">
      <c r="A75" s="2" t="s">
        <v>67</v>
      </c>
      <c r="B75" s="27">
        <f>+'[11]Summary 09_2024'!$P$113</f>
        <v>4593.9568499999996</v>
      </c>
      <c r="G75" s="27">
        <f>+'[11]Summary 09_2024'!$P$114</f>
        <v>-6418.4958999999981</v>
      </c>
      <c r="L75" s="27">
        <f>+'[11]Summary 09_2024'!$P$115</f>
        <v>107210.91329000001</v>
      </c>
      <c r="Q75" s="27">
        <f>+'[11]Summary 09_2024'!$P$116</f>
        <v>20666.312059999949</v>
      </c>
      <c r="V75" s="27">
        <f>+'[11]Summary 09_2024'!$P$117</f>
        <v>-2219.1316099999949</v>
      </c>
    </row>
    <row r="76" spans="1:34" s="28" customFormat="1" x14ac:dyDescent="0.2">
      <c r="A76" s="28" t="s">
        <v>68</v>
      </c>
      <c r="B76" s="29">
        <f>+B32+B14-B75</f>
        <v>2.8199996622788603E-3</v>
      </c>
      <c r="G76" s="29">
        <f>+G32+G14-G75</f>
        <v>3.1000000617495971E-3</v>
      </c>
      <c r="L76" s="29">
        <f>+L32+L14-L75</f>
        <v>6.2600001983810216E-3</v>
      </c>
      <c r="Q76" s="29">
        <f>+Q32+Q14-Q75</f>
        <v>1.9300004387332592E-3</v>
      </c>
      <c r="V76" s="29">
        <f>+V32+V14-V75</f>
        <v>2.8799997362511931E-3</v>
      </c>
    </row>
    <row r="78" spans="1:34" ht="15.75" x14ac:dyDescent="0.25">
      <c r="A78" s="30" t="s">
        <v>69</v>
      </c>
    </row>
    <row r="79" spans="1:34" x14ac:dyDescent="0.2">
      <c r="A79" s="2" t="str">
        <f>'[11]Summary 09_2024'!A113</f>
        <v>COTELCO</v>
      </c>
      <c r="B79" s="31">
        <f>'[11]Summary 09_2024'!N113</f>
        <v>98.064550807249304</v>
      </c>
      <c r="C79" s="31">
        <f>IF(B79="NDA","0",B79)</f>
        <v>98.064550807249304</v>
      </c>
    </row>
    <row r="80" spans="1:34" x14ac:dyDescent="0.2">
      <c r="A80" s="2" t="str">
        <f>'[11]Summary 09_2024'!A114</f>
        <v>COTELCO-PPALMA</v>
      </c>
      <c r="B80" s="31">
        <f>'[11]Summary 09_2024'!N114</f>
        <v>97.636077413140981</v>
      </c>
      <c r="C80" s="31">
        <f t="shared" ref="C80:C83" si="19">IF(B80="NDA","0",B80)</f>
        <v>97.636077413140981</v>
      </c>
    </row>
    <row r="81" spans="1:22" x14ac:dyDescent="0.2">
      <c r="A81" s="2" t="str">
        <f>'[11]Summary 09_2024'!A115</f>
        <v>SOCOTECO I</v>
      </c>
      <c r="B81" s="31">
        <f>'[11]Summary 09_2024'!N115</f>
        <v>98.41020190914989</v>
      </c>
      <c r="C81" s="31">
        <f t="shared" si="19"/>
        <v>98.41020190914989</v>
      </c>
    </row>
    <row r="82" spans="1:22" x14ac:dyDescent="0.2">
      <c r="A82" s="2" t="str">
        <f>'[11]Summary 09_2024'!A116</f>
        <v>SOCOTECO II</v>
      </c>
      <c r="B82" s="31">
        <f>'[11]Summary 09_2024'!N116</f>
        <v>94.170161077402895</v>
      </c>
      <c r="C82" s="31">
        <f t="shared" si="19"/>
        <v>94.170161077402895</v>
      </c>
    </row>
    <row r="83" spans="1:22" x14ac:dyDescent="0.2">
      <c r="A83" s="2" t="str">
        <f>'[11]Summary 09_2024'!A117</f>
        <v>SUKELCO</v>
      </c>
      <c r="B83" s="31">
        <f>'[11]Summary 09_2024'!N117</f>
        <v>100</v>
      </c>
      <c r="C83" s="31">
        <f t="shared" si="19"/>
        <v>100</v>
      </c>
    </row>
    <row r="86" spans="1:22" x14ac:dyDescent="0.2">
      <c r="A86" s="2" t="s">
        <v>70</v>
      </c>
      <c r="B86" s="27">
        <f>+'[11]Summary 09_2024'!$S$113</f>
        <v>151471.15349</v>
      </c>
      <c r="G86" s="27">
        <f>+'[11]Summary 09_2024'!$S$114</f>
        <v>26074.70897</v>
      </c>
      <c r="L86" s="27">
        <f>+'[11]Summary 09_2024'!$S$115</f>
        <v>521682.51548</v>
      </c>
      <c r="Q86" s="27">
        <f>+'[11]Summary 09_2024'!$S$116</f>
        <v>290143.82263999997</v>
      </c>
      <c r="V86" s="27">
        <f>+'[11]Summary 09_2024'!$S$117</f>
        <v>101117.37347000001</v>
      </c>
    </row>
    <row r="87" spans="1:22" s="34" customFormat="1" x14ac:dyDescent="0.2">
      <c r="A87" s="32" t="s">
        <v>68</v>
      </c>
      <c r="B87" s="33">
        <f>B37-B86</f>
        <v>-3.4900000027846545E-3</v>
      </c>
      <c r="G87" s="33">
        <f>G37-G86</f>
        <v>1.0299999994458631E-3</v>
      </c>
      <c r="L87" s="33">
        <f>L37-L86</f>
        <v>4.5200000167824328E-3</v>
      </c>
      <c r="Q87" s="33">
        <f>Q37-Q86</f>
        <v>-2.6399999624118209E-3</v>
      </c>
      <c r="V87" s="33">
        <f>V37-V86</f>
        <v>-3.4700000105658546E-3</v>
      </c>
    </row>
  </sheetData>
  <mergeCells count="22">
    <mergeCell ref="B73:E73"/>
    <mergeCell ref="G73:J73"/>
    <mergeCell ref="L73:O73"/>
    <mergeCell ref="Q73:T73"/>
    <mergeCell ref="V73:Y73"/>
    <mergeCell ref="AA6:AD6"/>
    <mergeCell ref="D8:E8"/>
    <mergeCell ref="I8:J8"/>
    <mergeCell ref="N8:O8"/>
    <mergeCell ref="S8:T8"/>
    <mergeCell ref="X8:Y8"/>
    <mergeCell ref="AC8:AD8"/>
    <mergeCell ref="B5:E5"/>
    <mergeCell ref="L5:O5"/>
    <mergeCell ref="Q5:T5"/>
    <mergeCell ref="V5:Y5"/>
    <mergeCell ref="AA5:AD5"/>
    <mergeCell ref="B6:E6"/>
    <mergeCell ref="G6:J6"/>
    <mergeCell ref="L6:O6"/>
    <mergeCell ref="Q6:T6"/>
    <mergeCell ref="V6:Y6"/>
  </mergeCells>
  <pageMargins left="0.8" right="0" top="0.55000000000000004" bottom="0" header="0.42" footer="0.47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REG12</vt:lpstr>
      <vt:lpstr>'REG12'!Print_Area</vt:lpstr>
      <vt:lpstr>'REG12'!Print_Titles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2025-01-22T07:44:08Z</dcterms:created>
  <dcterms:modified xsi:type="dcterms:W3CDTF">2025-01-22T07:44:18Z</dcterms:modified>
</cp:coreProperties>
</file>